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autoCompressPictures="0"/>
  <mc:AlternateContent xmlns:mc="http://schemas.openxmlformats.org/markup-compatibility/2006">
    <mc:Choice Requires="x15">
      <x15ac:absPath xmlns:x15ac="http://schemas.microsoft.com/office/spreadsheetml/2010/11/ac" url="J:\QA-AS9100\National Standards &amp; STD Declarations\Conflict Minerals Dodd Frank Declarations\"/>
    </mc:Choice>
  </mc:AlternateContent>
  <xr:revisionPtr revIDLastSave="0" documentId="13_ncr:1_{DFEC1E89-BEA5-4EED-8D5B-8E2A262F31B9}"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V58" i="5"/>
  <c r="X58" i="5" s="1"/>
  <c r="V57" i="5"/>
  <c r="T57" i="5"/>
  <c r="V56" i="5"/>
  <c r="R56" i="5" s="1"/>
  <c r="T56" i="5"/>
  <c r="V55" i="5"/>
  <c r="V54" i="5"/>
  <c r="V53" i="5"/>
  <c r="R53" i="5" s="1"/>
  <c r="T53" i="5"/>
  <c r="V52" i="5"/>
  <c r="R52" i="5" s="1"/>
  <c r="T52" i="5"/>
  <c r="V51" i="5"/>
  <c r="V50" i="5"/>
  <c r="R50" i="5" s="1"/>
  <c r="V49" i="5"/>
  <c r="R49" i="5" s="1"/>
  <c r="V48" i="5"/>
  <c r="R48" i="5" s="1"/>
  <c r="V47" i="5"/>
  <c r="V46" i="5"/>
  <c r="R46" i="5" s="1"/>
  <c r="V45" i="5"/>
  <c r="R45" i="5" s="1"/>
  <c r="V44" i="5"/>
  <c r="R44" i="5" s="1"/>
  <c r="S44" i="5"/>
  <c r="V42" i="5"/>
  <c r="X42" i="5" s="1"/>
  <c r="V41" i="5"/>
  <c r="V40" i="5"/>
  <c r="R40" i="5" s="1"/>
  <c r="V39" i="5"/>
  <c r="V38" i="5"/>
  <c r="V37" i="5"/>
  <c r="R37" i="5" s="1"/>
  <c r="V36" i="5"/>
  <c r="R36" i="5" s="1"/>
  <c r="V35" i="5"/>
  <c r="V34" i="5"/>
  <c r="R34" i="5" s="1"/>
  <c r="V33" i="5"/>
  <c r="R33" i="5" s="1"/>
  <c r="T33" i="5"/>
  <c r="V32" i="5"/>
  <c r="R32" i="5" s="1"/>
  <c r="V31" i="5"/>
  <c r="V30" i="5"/>
  <c r="V29" i="5"/>
  <c r="V28" i="5"/>
  <c r="V27" i="5"/>
  <c r="V26" i="5"/>
  <c r="V25" i="5"/>
  <c r="V24" i="5"/>
  <c r="R24" i="5" s="1"/>
  <c r="V23" i="5"/>
  <c r="S22" i="5"/>
  <c r="V22" i="5"/>
  <c r="V21" i="5"/>
  <c r="V20" i="5"/>
  <c r="R20" i="5" s="1"/>
  <c r="V19" i="5"/>
  <c r="T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58" i="5"/>
  <c r="T49" i="5"/>
  <c r="T37" i="5"/>
  <c r="T26" i="5"/>
  <c r="T20" i="5"/>
  <c r="S46" i="5"/>
  <c r="T41" i="5"/>
  <c r="S34" i="5"/>
  <c r="T28" i="5"/>
  <c r="S50" i="5"/>
  <c r="S48" i="5"/>
  <c r="S38" i="5"/>
  <c r="T36" i="5"/>
  <c r="S42" i="5"/>
  <c r="S54" i="5"/>
  <c r="T45" i="5"/>
  <c r="T40" i="5"/>
  <c r="AB2402" i="5" l="1"/>
  <c r="AB324" i="5"/>
  <c r="S414" i="5"/>
  <c r="T684" i="5"/>
  <c r="T788" i="5"/>
  <c r="S918" i="5"/>
  <c r="S1000" i="5"/>
  <c r="AB1115" i="5"/>
  <c r="AB1353" i="5"/>
  <c r="AB1401" i="5"/>
  <c r="E1479" i="5"/>
  <c r="X1479" i="5" s="1"/>
  <c r="T1519" i="5"/>
  <c r="AB1624" i="5"/>
  <c r="T1684" i="5"/>
  <c r="S1770" i="5"/>
  <c r="T1781" i="5"/>
  <c r="T2060" i="5"/>
  <c r="S2140" i="5"/>
  <c r="T2248" i="5"/>
  <c r="T2317" i="5"/>
  <c r="T76" i="5"/>
  <c r="T391" i="5"/>
  <c r="AB481" i="5"/>
  <c r="R528" i="5"/>
  <c r="AB552" i="5"/>
  <c r="AB674" i="5"/>
  <c r="G681" i="5"/>
  <c r="AB720" i="5"/>
  <c r="AB841" i="5"/>
  <c r="AB858" i="5"/>
  <c r="S903" i="5"/>
  <c r="T1078" i="5"/>
  <c r="T1407" i="5"/>
  <c r="S1465" i="5"/>
  <c r="S1491" i="5"/>
  <c r="T1624" i="5"/>
  <c r="T1675" i="5"/>
  <c r="AB1691" i="5"/>
  <c r="AB1731" i="5"/>
  <c r="S1748" i="5"/>
  <c r="AB1757" i="5"/>
  <c r="T1883" i="5"/>
  <c r="S2068" i="5"/>
  <c r="AB2088" i="5"/>
  <c r="T2133" i="5"/>
  <c r="S2428" i="5"/>
  <c r="AB488"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46" i="5"/>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E97" i="5"/>
  <c r="X97" i="5" s="1"/>
  <c r="H79" i="5"/>
  <c r="F79" i="5"/>
  <c r="E79" i="5"/>
  <c r="X79" i="5" s="1"/>
  <c r="I79" i="5"/>
  <c r="G79" i="5"/>
  <c r="X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X26" i="5"/>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R22"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74" i="5"/>
  <c r="G86" i="5"/>
  <c r="J107" i="5"/>
  <c r="S178" i="5"/>
  <c r="AB178" i="5"/>
  <c r="T178" i="5"/>
  <c r="V215" i="5"/>
  <c r="G215" i="5" s="1"/>
  <c r="R299" i="5"/>
  <c r="J299" i="5"/>
  <c r="T312" i="5"/>
  <c r="S312" i="5"/>
  <c r="T379" i="5"/>
  <c r="S379" i="5"/>
  <c r="E392" i="5"/>
  <c r="X392" i="5" s="1"/>
  <c r="I392" i="5"/>
  <c r="H392" i="5"/>
  <c r="E62" i="5"/>
  <c r="X62" i="5" s="1"/>
  <c r="S110" i="5"/>
  <c r="AB110" i="5"/>
  <c r="R30"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I175" i="5" s="1"/>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67" i="5" s="1"/>
  <c r="X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257" i="5" s="1"/>
  <c r="X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R19" i="5"/>
  <c r="X19" i="5"/>
  <c r="X35" i="5"/>
  <c r="R35" i="5"/>
  <c r="H139" i="5"/>
  <c r="R139" i="5"/>
  <c r="J139" i="5"/>
  <c r="I139" i="5"/>
  <c r="E139" i="5"/>
  <c r="X139" i="5" s="1"/>
  <c r="F139" i="5"/>
  <c r="E193" i="5"/>
  <c r="X193" i="5" s="1"/>
  <c r="F193" i="5"/>
  <c r="H227" i="5"/>
  <c r="E227" i="5"/>
  <c r="X227" i="5" s="1"/>
  <c r="R227" i="5"/>
  <c r="F227" i="5"/>
  <c r="J227" i="5"/>
  <c r="I227" i="5"/>
  <c r="R41" i="5"/>
  <c r="X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X27" i="5"/>
  <c r="R27" i="5"/>
  <c r="H83" i="5"/>
  <c r="R83" i="5"/>
  <c r="J83" i="5"/>
  <c r="I83" i="5"/>
  <c r="F83" i="5"/>
  <c r="E83" i="5"/>
  <c r="X83" i="5" s="1"/>
  <c r="R51" i="5"/>
  <c r="X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X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X31" i="5"/>
  <c r="F113" i="5"/>
  <c r="E113" i="5"/>
  <c r="X113" i="5" s="1"/>
  <c r="R113" i="5"/>
  <c r="H155" i="5"/>
  <c r="R155" i="5"/>
  <c r="J155" i="5"/>
  <c r="I155" i="5"/>
  <c r="E155" i="5"/>
  <c r="X155" i="5" s="1"/>
  <c r="F155" i="5"/>
  <c r="H203" i="5"/>
  <c r="R203" i="5"/>
  <c r="J203" i="5"/>
  <c r="I203" i="5"/>
  <c r="E203" i="5"/>
  <c r="X203" i="5" s="1"/>
  <c r="F203" i="5"/>
  <c r="R249" i="5"/>
  <c r="E249" i="5"/>
  <c r="X249" i="5" s="1"/>
  <c r="F249" i="5"/>
  <c r="R39"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X34" i="5"/>
  <c r="R42" i="5"/>
  <c r="H62" i="5"/>
  <c r="X45" i="5"/>
  <c r="X55" i="5"/>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X50" i="5"/>
  <c r="R58" i="5"/>
  <c r="X23" i="5"/>
  <c r="AB26" i="5"/>
  <c r="X39" i="5"/>
  <c r="AB22" i="5"/>
  <c r="R25" i="5"/>
  <c r="X38" i="5"/>
  <c r="R47" i="5"/>
  <c r="X54"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X33" i="5"/>
  <c r="X49" i="5"/>
  <c r="E65" i="5"/>
  <c r="X65" i="5" s="1"/>
  <c r="I66" i="5"/>
  <c r="S72" i="5"/>
  <c r="E81" i="5"/>
  <c r="X81" i="5" s="1"/>
  <c r="I82" i="5"/>
  <c r="S88"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X37" i="5"/>
  <c r="X53" i="5"/>
  <c r="E69" i="5"/>
  <c r="X69" i="5" s="1"/>
  <c r="E85" i="5"/>
  <c r="X85" i="5" s="1"/>
  <c r="G90" i="5"/>
  <c r="E95" i="5"/>
  <c r="X95" i="5" s="1"/>
  <c r="R101" i="5"/>
  <c r="I103" i="5"/>
  <c r="H110" i="5"/>
  <c r="I111" i="5"/>
  <c r="T114" i="5"/>
  <c r="J115" i="5"/>
  <c r="R145" i="5"/>
  <c r="E147" i="5"/>
  <c r="X147" i="5" s="1"/>
  <c r="G153" i="5"/>
  <c r="AB162" i="5"/>
  <c r="R165" i="5"/>
  <c r="I167"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F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H2218" i="5"/>
  <c r="F2221" i="5"/>
  <c r="V2232" i="5"/>
  <c r="AB2240" i="5"/>
  <c r="AB2249" i="5"/>
  <c r="E2253" i="5"/>
  <c r="X2253" i="5" s="1"/>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X20" i="5"/>
  <c r="AB20" i="5"/>
  <c r="R21" i="5"/>
  <c r="AB28" i="5"/>
  <c r="R29" i="5"/>
  <c r="AB34" i="5"/>
  <c r="AB38" i="5"/>
  <c r="AB42" i="5"/>
  <c r="AB46" i="5"/>
  <c r="AB50" i="5"/>
  <c r="AB54"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AB21" i="5"/>
  <c r="T21" i="5"/>
  <c r="S29" i="5"/>
  <c r="AB29" i="5"/>
  <c r="AB35" i="5"/>
  <c r="AB39" i="5"/>
  <c r="S39" i="5"/>
  <c r="T39" i="5"/>
  <c r="AB43" i="5"/>
  <c r="AB47" i="5"/>
  <c r="T47" i="5"/>
  <c r="AB51" i="5"/>
  <c r="T51" i="5"/>
  <c r="AB55"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X5"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S109" i="5"/>
  <c r="AB109" i="5"/>
  <c r="E117" i="5"/>
  <c r="X117" i="5" s="1"/>
  <c r="J121" i="5"/>
  <c r="I121" i="5"/>
  <c r="H121" i="5"/>
  <c r="S141" i="5"/>
  <c r="AB141" i="5"/>
  <c r="H146" i="5"/>
  <c r="F150" i="5"/>
  <c r="R150" i="5"/>
  <c r="J150" i="5"/>
  <c r="AB19" i="5"/>
  <c r="X21" i="5"/>
  <c r="AB27" i="5"/>
  <c r="T27" i="5"/>
  <c r="X29" i="5"/>
  <c r="X24" i="5"/>
  <c r="R28" i="5"/>
  <c r="T30" i="5"/>
  <c r="X32" i="5"/>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S25" i="5"/>
  <c r="AB25" i="5"/>
  <c r="AB37" i="5"/>
  <c r="AB45" i="5"/>
  <c r="AB53" i="5"/>
  <c r="AB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33" i="5"/>
  <c r="AB41" i="5"/>
  <c r="AB49"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X22" i="5"/>
  <c r="R23" i="5"/>
  <c r="R26" i="5"/>
  <c r="X30" i="5"/>
  <c r="R31" i="5"/>
  <c r="X36" i="5"/>
  <c r="T38" i="5"/>
  <c r="X40" i="5"/>
  <c r="T42" i="5"/>
  <c r="X44" i="5"/>
  <c r="T46" i="5"/>
  <c r="X48" i="5"/>
  <c r="X52" i="5"/>
  <c r="T54" i="5"/>
  <c r="X56" i="5"/>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52" i="5"/>
  <c r="S36" i="5"/>
  <c r="S21" i="5"/>
  <c r="T43" i="5"/>
  <c r="S55" i="5"/>
  <c r="S27" i="5"/>
  <c r="S45" i="5"/>
  <c r="S57" i="5"/>
  <c r="S41" i="5"/>
  <c r="T34" i="5"/>
  <c r="T50" i="5"/>
  <c r="T6" i="5"/>
  <c r="T5" i="5"/>
  <c r="S28" i="5"/>
  <c r="S56" i="5"/>
  <c r="S35" i="5"/>
  <c r="S51" i="5"/>
  <c r="T55" i="5"/>
  <c r="T23" i="5"/>
  <c r="S19" i="5"/>
  <c r="T25" i="5"/>
  <c r="T31" i="5"/>
  <c r="S40" i="5"/>
  <c r="S30" i="5"/>
  <c r="S18" i="5"/>
  <c r="T29" i="5"/>
  <c r="T35" i="5"/>
  <c r="S47" i="5"/>
  <c r="T32" i="5"/>
  <c r="S31" i="5"/>
  <c r="S37" i="5"/>
  <c r="S53" i="5"/>
  <c r="S33" i="5"/>
  <c r="S49" i="5"/>
  <c r="T44" i="5"/>
  <c r="S26" i="5"/>
  <c r="S23" i="5"/>
  <c r="T18" i="5"/>
  <c r="S24" i="5"/>
  <c r="S32" i="5"/>
  <c r="S43" i="5"/>
  <c r="T22" i="5"/>
  <c r="C10" i="6" l="1"/>
  <c r="C12" i="6"/>
  <c r="C11" i="6"/>
  <c r="C9" i="6"/>
  <c r="C8" i="6"/>
  <c r="C7" i="6"/>
  <c r="F2257" i="5"/>
  <c r="H1673" i="5"/>
  <c r="R808" i="5"/>
  <c r="J239" i="5"/>
  <c r="E175" i="5"/>
  <c r="X175" i="5" s="1"/>
  <c r="H447" i="5"/>
  <c r="E1633" i="5"/>
  <c r="X1633" i="5" s="1"/>
  <c r="I1140" i="5"/>
  <c r="F1067" i="5"/>
  <c r="I808" i="5"/>
  <c r="F175" i="5"/>
  <c r="B32" i="6"/>
  <c r="E2213" i="5"/>
  <c r="X2213" i="5" s="1"/>
  <c r="F1673" i="5"/>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X43" i="5"/>
  <c r="R43"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5" i="5"/>
  <c r="S6" i="5"/>
  <c r="H46" i="6" l="1"/>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12" i="5"/>
  <c r="T9" i="5"/>
  <c r="T17" i="5"/>
  <c r="T16" i="5"/>
  <c r="T8" i="5"/>
  <c r="T7" i="5"/>
  <c r="T10" i="5"/>
  <c r="T13" i="5"/>
  <c r="T14" i="5"/>
  <c r="T11" i="5"/>
  <c r="T15" i="5"/>
  <c r="X13" i="5" l="1"/>
  <c r="X10" i="5"/>
  <c r="D65" i="6"/>
  <c r="X9" i="5"/>
  <c r="X12" i="5"/>
  <c r="X14" i="5"/>
  <c r="X17" i="5"/>
  <c r="D66" i="6"/>
  <c r="C67" i="6"/>
  <c r="X11" i="5"/>
  <c r="X15" i="5"/>
  <c r="X8" i="5"/>
  <c r="X7" i="5"/>
  <c r="G69" i="6"/>
  <c r="H69" i="6" s="1"/>
  <c r="H70" i="6" s="1"/>
  <c r="D2" i="6" s="1"/>
  <c r="X16" i="5"/>
  <c r="D55" i="6"/>
  <c r="C55" i="6"/>
  <c r="D56" i="6"/>
  <c r="C56" i="6"/>
  <c r="S16" i="5"/>
  <c r="S9" i="5"/>
  <c r="S14" i="5"/>
  <c r="S11" i="5"/>
  <c r="S7" i="5"/>
  <c r="S15" i="5"/>
  <c r="S13" i="5"/>
  <c r="S17" i="5"/>
  <c r="S8" i="5"/>
  <c r="S10" i="5"/>
  <c r="S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<sst xmlns="http://schemas.openxmlformats.org/spreadsheetml/2006/main" count="22675" uniqueCount="15737">
  <si>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</si>
  <si>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</si>
  <si>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</si>
  <si>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</si>
  <si>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</si>
  <si>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</si>
  <si>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</si>
  <si>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</si>
  <si>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</si>
  <si>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</si>
  <si>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</si>
  <si>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</si>
  <si>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</si>
  <si>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</si>
  <si>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</si>
  <si>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</si>
  <si>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</si>
  <si>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</si>
  <si>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</si>
  <si>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</si>
  <si>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</si>
  <si>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</si>
  <si>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</si>
  <si>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</si>
  <si>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</si>
  <si>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</si>
  <si>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</si>
  <si>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</si>
  <si>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</si>
  <si>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</si>
  <si>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</si>
  <si>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</si>
  <si>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</si>
  <si>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</si>
  <si>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</si>
  <si>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</si>
  <si>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</si>
  <si>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</si>
  <si>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</si>
  <si>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</si>
  <si>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</si>
  <si>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</si>
  <si>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</si>
  <si>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</si>
  <si>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</si>
  <si>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</si>
  <si>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</si>
  <si>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</si>
  <si>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</si>
  <si>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</si>
  <si>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</si>
  <si>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</si>
  <si>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</si>
  <si>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</si>
  <si>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</si>
  <si>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</si>
  <si>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</si>
  <si>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</si>
  <si>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</si>
  <si>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</si>
  <si>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</si>
  <si>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</si>
  <si>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</si>
  <si>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</si>
  <si>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</si>
  <si>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</si>
  <si>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</si>
  <si>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</si>
  <si>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</si>
  <si>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</si>
  <si>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</si>
  <si>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</si>
  <si>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</si>
  <si>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</si>
  <si>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</si>
  <si>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</si>
  <si>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</si>
  <si>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</si>
  <si>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</si>
  <si>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</si>
  <si>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</si>
  <si>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</si>
  <si>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</si>
  <si>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</si>
  <si>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</si>
  <si>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</si>
  <si>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</si>
  <si>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</si>
  <si>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</si>
  <si>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</si>
  <si>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</si>
  <si>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</si>
  <si>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</si>
  <si>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</si>
  <si>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</si>
  <si>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</si>
  <si>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</si>
  <si>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</si>
  <si>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</si>
  <si>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</si>
  <si>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</si>
  <si>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</si>
  <si>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</si>
  <si>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</si>
  <si>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</si>
  <si>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</si>
  <si>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</si>
  <si>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</si>
  <si>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</si>
  <si>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</si>
  <si>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</si>
  <si>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</si>
  <si>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</si>
  <si>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</si>
  <si>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</si>
  <si>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</si>
  <si>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</si>
  <si>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</si>
  <si>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</si>
  <si>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</si>
  <si>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</si>
  <si>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</si>
  <si>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</si>
  <si>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</si>
  <si>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</si>
  <si>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</si>
  <si>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</si>
  <si>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</si>
  <si>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</si>
  <si>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</si>
  <si>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</si>
  <si>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</si>
  <si>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</si>
  <si>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</si>
  <si>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</si>
  <si>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</si>
  <si>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</si>
  <si>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</si>
  <si>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</si>
  <si>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</si>
  <si>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</si>
  <si>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</si>
  <si>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</si>
  <si>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</si>
  <si>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</si>
  <si>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</si>
  <si>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</si>
  <si>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</si>
  <si>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</si>
  <si>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</si>
  <si>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</si>
  <si>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</si>
  <si>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</si>
  <si>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</si>
  <si>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</si>
  <si>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</si>
  <si>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</si>
  <si>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</si>
  <si>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</si>
  <si>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</si>
  <si>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</si>
  <si>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</si>
  <si>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</si>
  <si>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</si>
  <si>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</si>
  <si>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</si>
  <si>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</si>
  <si>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</si>
  <si>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</si>
  <si>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</si>
  <si>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</si>
  <si>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</si>
  <si>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</si>
  <si>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</si>
  <si>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</si>
  <si>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</si>
  <si>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</si>
  <si>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</si>
  <si>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</si>
  <si>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</si>
  <si>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</si>
  <si>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</si>
  <si>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</si>
  <si>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</si>
  <si>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</si>
  <si>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</si>
  <si>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</si>
  <si>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</si>
  <si>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</si>
  <si>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</si>
  <si>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</si>
  <si>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</si>
  <si>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</si>
  <si>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</si>
  <si>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</si>
  <si>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</si>
  <si>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</si>
  <si>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</si>
  <si>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</si>
  <si>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</si>
  <si>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</si>
  <si>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</si>
  <si>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</si>
  <si>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</si>
  <si>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</si>
  <si>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</si>
  <si>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</si>
  <si>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</si>
  <si>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</si>
  <si>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</si>
  <si>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</si>
  <si>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</si>
  <si>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</si>
  <si>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</si>
  <si>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</si>
  <si>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</si>
  <si>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</si>
  <si>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</si>
  <si>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</si>
  <si>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</si>
  <si>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</si>
  <si>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</si>
  <si>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</si>
  <si>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</si>
  <si>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</si>
  <si>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</si>
  <si>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</si>
  <si>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</si>
  <si>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</si>
  <si>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</si>
  <si>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</si>
  <si>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</si>
  <si>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</si>
  <si>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</si>
  <si>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</si>
  <si>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</si>
  <si>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</si>
  <si>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</si>
  <si>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</si>
  <si>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</si>
  <si>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</si>
  <si>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</si>
  <si>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</si>
  <si>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</si>
  <si>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</si>
  <si>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</si>
  <si>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</si>
  <si>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</si>
  <si>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</si>
  <si>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</si>
  <si>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</si>
  <si>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</si>
  <si>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</si>
  <si>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</si>
  <si>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</si>
  <si>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</si>
  <si>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</si>
  <si>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</si>
  <si>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</si>
  <si>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</si>
  <si>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</si>
  <si>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</si>
  <si>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</si>
  <si>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</si>
  <si>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</si>
  <si>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</si>
  <si>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</si>
  <si>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</si>
  <si>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</si>
  <si>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</si>
  <si>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</si>
  <si>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</si>
  <si>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</si>
  <si>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</si>
  <si>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</si>
  <si>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</si>
  <si>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</si>
  <si>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</si>
  <si>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</si>
  <si>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</si>
  <si>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</si>
  <si>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</si>
  <si>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</si>
  <si>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</si>
  <si>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</si>
  <si>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</si>
  <si>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</si>
  <si>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</si>
  <si>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</si>
  <si>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</si>
  <si>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</si>
  <si>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</si>
  <si>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</si>
  <si>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</si>
  <si>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</si>
  <si>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</si>
  <si>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</si>
  <si>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</si>
  <si>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</si>
  <si>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</si>
  <si>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</si>
  <si>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</si>
  <si>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</si>
  <si>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</si>
  <si>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</si>
  <si>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</si>
  <si>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</si>
  <si>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</si>
  <si>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</si>
  <si>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</si>
  <si>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</si>
  <si>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</si>
  <si>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</si>
  <si>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</si>
  <si>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</si>
  <si>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</si>
  <si>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</si>
  <si>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</si>
  <si>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</si>
  <si>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</si>
  <si>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</si>
  <si>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</si>
  <si>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</si>
  <si>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</si>
  <si>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</si>
  <si>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</si>
  <si>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</si>
  <si>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</si>
  <si>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</si>
  <si>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</si>
  <si>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</si>
  <si>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</si>
  <si>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</si>
  <si>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</si>
  <si>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</si>
  <si>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</si>
  <si>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</si>
  <si>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</si>
  <si>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</si>
  <si>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</si>
  <si>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</si>
  <si>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</si>
  <si>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</si>
  <si>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</si>
  <si>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</si>
  <si>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</si>
  <si>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</si>
  <si>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</si>
  <si>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</si>
  <si>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</si>
  <si>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</si>
  <si>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</si>
  <si>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</si>
  <si>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</si>
  <si>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</si>
  <si>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</si>
  <si>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</si>
  <si>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</si>
  <si>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</si>
  <si>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</si>
  <si>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</si>
  <si>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</si>
  <si>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</si>
  <si>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</si>
  <si>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</si>
  <si>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</si>
  <si>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</si>
  <si>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</si>
  <si>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</si>
  <si>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</si>
  <si>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</si>
  <si>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</si>
  <si>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</si>
  <si>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</si>
  <si>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</si>
  <si>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</si>
  <si>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</si>
  <si>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</si>
  <si>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</si>
  <si>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</si>
  <si>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</si>
  <si>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</si>
  <si>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</si>
  <si>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</si>
  <si>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</si>
  <si>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</si>
  <si>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</si>
  <si>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</si>
  <si>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</si>
  <si>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</si>
  <si>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</si>
  <si>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</si>
  <si>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</si>
  <si>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</si>
  <si>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</si>
  <si>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</si>
  <si>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</si>
  <si>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</si>
  <si>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</si>
  <si>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</si>
  <si>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</si>
  <si>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</si>
  <si>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</si>
  <si>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</si>
  <si>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</si>
  <si>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</si>
  <si>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</si>
  <si>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</si>
  <si>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</si>
  <si>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</si>
  <si>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</si>
  <si>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</si>
  <si>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</si>
  <si>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</si>
  <si>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</si>
  <si>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</si>
  <si>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</si>
  <si>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</si>
  <si>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</si>
  <si>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</si>
  <si>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</si>
  <si>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</si>
  <si>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</si>
  <si>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</si>
  <si>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</si>
  <si>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</si>
  <si>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</si>
  <si>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</si>
  <si>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</si>
  <si>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</si>
  <si>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</si>
  <si>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</si>
  <si>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</si>
  <si>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</si>
  <si>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</si>
  <si>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</si>
  <si>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</si>
  <si>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</si>
  <si>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</si>
  <si>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</si>
  <si>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</si>
  <si>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</si>
  <si>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</si>
  <si>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</si>
  <si>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</si>
  <si>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</si>
  <si>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</si>
  <si>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</si>
  <si>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</si>
  <si>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</si>
  <si>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</si>
  <si>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</si>
  <si>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</si>
  <si>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</si>
  <si>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</si>
  <si>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</si>
  <si>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</si>
  <si>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</si>
  <si>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</si>
  <si>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</si>
  <si>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</si>
  <si>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</si>
  <si>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</si>
  <si>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</si>
  <si>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</si>
  <si>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</si>
  <si>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</si>
  <si>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</si>
  <si>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</si>
  <si>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</si>
  <si>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</si>
  <si>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</si>
  <si>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</si>
  <si>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</si>
  <si>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</si>
  <si>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</si>
  <si>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</si>
  <si>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</si>
  <si>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</si>
  <si>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</si>
  <si>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</si>
  <si>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</si>
  <si>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</si>
  <si>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</si>
  <si>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</si>
  <si>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</si>
  <si>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</si>
  <si>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</si>
  <si>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</si>
  <si>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</si>
  <si>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</si>
  <si>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</si>
  <si>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</si>
  <si>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</si>
  <si>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</si>
  <si>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</si>
  <si>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</si>
  <si>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</si>
  <si>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</si>
  <si>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</si>
  <si>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</si>
  <si>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</si>
  <si>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</si>
  <si>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</si>
  <si>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</si>
  <si>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</si>
  <si>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</si>
  <si>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</si>
  <si>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</si>
  <si>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</si>
  <si>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</si>
  <si>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</si>
  <si>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</si>
  <si>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</si>
  <si>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</si>
  <si>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</si>
  <si>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</si>
  <si>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</si>
  <si>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</si>
  <si>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</si>
  <si>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</si>
  <si>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</si>
  <si>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</si>
  <si>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</si>
  <si>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</si>
  <si>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</si>
  <si>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</si>
  <si>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</si>
  <si>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</si>
  <si>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</si>
  <si>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</si>
  <si>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</si>
  <si>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</si>
  <si>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</si>
  <si>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</si>
  <si>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</si>
  <si>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</si>
  <si>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</si>
  <si>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</si>
  <si>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</si>
  <si>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</si>
  <si>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</si>
  <si>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</si>
  <si>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</si>
  <si>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</si>
  <si>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</si>
  <si>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</si>
  <si>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</si>
  <si>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</si>
  <si>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</si>
  <si>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</si>
  <si>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</si>
  <si>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</si>
  <si>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</si>
  <si>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</si>
  <si>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</si>
  <si>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</si>
  <si>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</si>
  <si>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</si>
  <si>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</si>
  <si>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</si>
  <si>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</si>
  <si>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</si>
  <si>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</si>
  <si>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</si>
  <si>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</si>
  <si>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</si>
  <si>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</si>
  <si>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</si>
  <si>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</si>
  <si>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</si>
  <si>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</si>
  <si>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</si>
  <si>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</si>
  <si>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</si>
  <si>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</si>
  <si>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</si>
  <si>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</si>
  <si>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</si>
  <si>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</si>
  <si>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</si>
  <si>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</si>
  <si>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</si>
  <si>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</si>
  <si>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</si>
  <si>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</si>
  <si>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</si>
  <si>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</si>
  <si>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</si>
  <si>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</si>
  <si>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</si>
  <si>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</si>
  <si>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</si>
  <si>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</si>
  <si>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</si>
  <si>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</si>
  <si>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</si>
  <si>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</si>
  <si>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</si>
  <si>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</si>
  <si>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</si>
  <si>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</si>
  <si>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</si>
  <si>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</si>
  <si>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</si>
  <si>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</si>
  <si>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</si>
  <si>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</si>
  <si>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</si>
  <si>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</si>
  <si>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</si>
  <si>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</si>
  <si>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</si>
  <si>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</si>
  <si>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</si>
  <si>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</si>
  <si>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</si>
  <si>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</si>
  <si>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</si>
  <si>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</si>
  <si>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</si>
  <si>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</si>
  <si>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</si>
  <si>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</si>
  <si>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</si>
  <si>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</si>
  <si>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</si>
  <si>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</si>
  <si>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</si>
  <si>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</si>
  <si>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</si>
  <si>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</si>
  <si>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</si>
  <si>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</si>
  <si>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</si>
  <si>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</si>
  <si>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</si>
  <si>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</si>
  <si>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</si>
  <si>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</si>
  <si>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</si>
  <si>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</si>
  <si>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</si>
  <si>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</si>
  <si>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</si>
  <si>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</si>
  <si>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</si>
  <si>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</si>
  <si>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</si>
  <si>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</si>
  <si>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</si>
  <si>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</si>
  <si>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</si>
  <si>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</si>
  <si>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</si>
  <si>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</si>
  <si>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</si>
  <si>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</si>
  <si>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</si>
  <si>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</si>
  <si>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</si>
  <si>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</si>
  <si>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</si>
  <si>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</si>
  <si>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</si>
  <si>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</si>
  <si>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</si>
  <si>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</si>
  <si>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</si>
  <si>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</si>
  <si>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</si>
  <si>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</si>
  <si>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</si>
  <si>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</si>
  <si>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</si>
  <si>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</si>
  <si>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</si>
  <si>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</si>
  <si>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</si>
  <si>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</si>
  <si>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</si>
  <si>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</si>
  <si>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</si>
  <si>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</si>
  <si>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</si>
  <si>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</si>
  <si>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</si>
  <si>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</si>
  <si>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</si>
  <si>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</si>
  <si>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</si>
  <si>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</si>
  <si>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</si>
  <si>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</si>
  <si>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</si>
  <si>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</si>
  <si>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</si>
  <si>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</si>
  <si>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</si>
  <si>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</si>
  <si>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</si>
  <si>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</si>
  <si>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</si>
  <si>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</si>
  <si>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</si>
  <si>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</si>
  <si>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</si>
  <si>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</si>
  <si>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</si>
  <si>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</si>
  <si>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</si>
  <si>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</si>
  <si>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</si>
  <si>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</si>
  <si>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</si>
  <si>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</si>
  <si>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</si>
  <si>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</si>
  <si>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</si>
  <si>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</si>
  <si>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</si>
  <si>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</si>
  <si>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</si>
  <si>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</si>
  <si>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</si>
  <si>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</si>
  <si>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</si>
  <si>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</si>
  <si>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</si>
  <si>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</si>
  <si>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</si>
  <si>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</si>
  <si>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</si>
  <si>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</si>
  <si>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</si>
  <si>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</si>
  <si>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</si>
  <si>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</si>
  <si>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</si>
  <si>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</si>
  <si>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</si>
  <si>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</si>
  <si>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</si>
  <si>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</si>
  <si>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</si>
  <si>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</si>
  <si>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</si>
  <si>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</si>
  <si>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</si>
  <si>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</si>
  <si>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</si>
  <si>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</si>
  <si>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</si>
  <si>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</si>
  <si>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</si>
  <si>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</si>
  <si>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</si>
  <si>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</si>
  <si>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</si>
  <si>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</si>
  <si>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</si>
  <si>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</si>
  <si>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</si>
  <si>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</si>
  <si>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</si>
  <si>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</si>
  <si>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</si>
  <si>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</si>
  <si>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</si>
  <si>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</si>
  <si>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</si>
  <si>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</si>
  <si>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</si>
  <si>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</si>
  <si>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</si>
  <si>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</si>
  <si>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</si>
  <si>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</si>
  <si>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</si>
  <si>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</si>
  <si>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</si>
  <si>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</si>
  <si>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</si>
  <si>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</si>
  <si>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</si>
  <si>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</si>
  <si>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</si>
  <si>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</si>
  <si>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</si>
  <si>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</si>
  <si>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</si>
  <si>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</si>
  <si>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</si>
  <si>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</si>
  <si>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</si>
  <si>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</si>
  <si>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</si>
  <si>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</si>
  <si>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</si>
  <si>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</si>
  <si>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</si>
  <si>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</si>
  <si>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</si>
  <si>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</si>
  <si>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</si>
  <si>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</si>
  <si>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</si>
  <si>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</si>
  <si>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</si>
  <si>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</si>
  <si>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</si>
  <si>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</si>
  <si>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</si>
  <si>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</si>
  <si>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</si>
  <si>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</si>
  <si>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</si>
  <si>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</si>
  <si>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</si>
  <si>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</si>
  <si>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</si>
  <si>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</si>
  <si>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</si>
  <si>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</si>
  <si>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</si>
  <si>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</si>
  <si>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</si>
  <si>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</si>
  <si>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</si>
  <si>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</si>
  <si>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</si>
  <si>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</si>
  <si>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</si>
  <si>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</si>
  <si>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</si>
  <si>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</si>
  <si>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</si>
  <si>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</si>
  <si>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</si>
  <si>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</si>
  <si>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</si>
  <si>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</si>
  <si>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</si>
  <si>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</si>
  <si>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</si>
  <si>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</si>
  <si>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</si>
  <si>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</si>
  <si>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</si>
  <si>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</si>
  <si>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</si>
  <si>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</si>
  <si>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</si>
  <si>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</si>
  <si>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</si>
  <si>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</si>
  <si>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</si>
  <si>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</si>
  <si>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</si>
  <si>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</si>
  <si>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</si>
  <si>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</si>
  <si>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</si>
  <si>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</si>
  <si>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</si>
  <si>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</si>
  <si>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</si>
  <si>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</si>
  <si>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</si>
  <si>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</si>
  <si>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</si>
  <si>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</si>
  <si>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</si>
  <si>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</si>
  <si>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</si>
  <si>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</si>
  <si>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</si>
  <si>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</si>
  <si>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</si>
  <si>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</si>
  <si>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</si>
  <si>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</si>
  <si>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</si>
  <si>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</si>
  <si>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</si>
  <si>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</si>
  <si>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</si>
  <si>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</si>
  <si>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</si>
  <si>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</si>
  <si>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</si>
  <si>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</si>
  <si>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</si>
  <si>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</si>
  <si>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</si>
  <si>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</si>
  <si>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</si>
  <si>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</si>
  <si>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</si>
  <si>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</si>
  <si>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</si>
  <si>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</si>
  <si>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</si>
  <si>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</si>
  <si>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</si>
  <si>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</si>
  <si>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</si>
  <si>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</si>
  <si>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</si>
  <si>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</si>
  <si>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</si>
  <si>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</si>
  <si>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</si>
  <si>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</si>
  <si>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</si>
  <si>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</si>
  <si>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</si>
  <si>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</si>
  <si>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</si>
  <si>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</si>
  <si>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</si>
  <si>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</si>
  <si>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</si>
  <si>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</si>
  <si>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</si>
  <si>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</si>
  <si>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</si>
  <si>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</si>
  <si>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</si>
  <si>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</si>
  <si>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</si>
  <si>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</si>
  <si>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</si>
  <si>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</si>
  <si>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</si>
  <si>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</si>
  <si>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</si>
  <si>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</si>
  <si>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</si>
  <si>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</si>
  <si>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</si>
  <si>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</si>
  <si>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</si>
  <si>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</si>
  <si>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</si>
  <si>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</si>
  <si>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</si>
  <si>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</si>
  <si>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</si>
  <si>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</si>
  <si>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</si>
  <si>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</si>
  <si>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</si>
  <si>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</si>
  <si>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</si>
  <si>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</si>
  <si>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</si>
  <si>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</si>
  <si>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</si>
  <si>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</si>
  <si>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</si>
  <si>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</si>
  <si>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</si>
  <si>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</si>
  <si>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</si>
  <si>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</si>
  <si>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</si>
  <si>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</si>
  <si>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</si>
  <si>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</si>
  <si>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</si>
  <si>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</si>
  <si>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</si>
  <si>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</si>
  <si>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</si>
  <si>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</si>
  <si>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</si>
  <si>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</si>
  <si>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</si>
  <si>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</si>
  <si>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</si>
  <si>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</si>
  <si>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</si>
  <si>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</si>
  <si>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</si>
  <si>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</si>
  <si>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</si>
  <si>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</si>
  <si>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</si>
  <si>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</si>
  <si>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</si>
  <si>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</si>
  <si>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</si>
  <si>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</si>
  <si>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</si>
  <si>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</si>
  <si>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</si>
  <si>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</si>
  <si>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</si>
  <si>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</si>
  <si>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</si>
  <si>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</si>
  <si>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</si>
  <si>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</si>
  <si>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</si>
  <si>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</si>
  <si>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</si>
  <si>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</si>
  <si>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</si>
  <si>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</si>
  <si>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</si>
  <si>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</si>
  <si>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</si>
  <si>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</si>
  <si>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</si>
  <si>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</si>
  <si>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</si>
  <si>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</si>
  <si>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</si>
  <si>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</si>
  <si>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</si>
  <si>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</si>
  <si>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</si>
  <si>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</si>
  <si>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</si>
  <si>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</si>
  <si>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</si>
  <si>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</si>
  <si>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</si>
  <si>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</si>
  <si>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</si>
  <si>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</si>
  <si>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</si>
  <si>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</si>
  <si>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</si>
  <si>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</si>
  <si>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</si>
  <si>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</si>
  <si>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</si>
  <si>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</si>
  <si>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</si>
  <si>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</si>
  <si>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</si>
  <si>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</si>
  <si>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</si>
  <si>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</si>
  <si>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</si>
  <si>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</si>
  <si>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</si>
  <si>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</si>
  <si>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</si>
  <si>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</si>
  <si>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</si>
  <si>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</si>
  <si>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</si>
  <si>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</si>
  <si>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</si>
  <si>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</si>
  <si>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</si>
  <si>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</si>
  <si>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</si>
  <si>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</si>
  <si>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</si>
  <si>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</si>
  <si>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</si>
  <si>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</si>
  <si>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</si>
  <si>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</si>
  <si>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</si>
  <si>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</si>
  <si>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</si>
  <si>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</si>
  <si>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</si>
  <si>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</si>
  <si>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</si>
  <si>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</si>
  <si>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</si>
  <si>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</si>
  <si>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</si>
  <si>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</si>
  <si>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</si>
  <si>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</si>
  <si>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</si>
  <si>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</si>
  <si>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</si>
  <si>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</si>
  <si>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</si>
  <si>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</si>
  <si>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</si>
  <si>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</si>
  <si>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</si>
  <si>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</si>
  <si>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</si>
  <si>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</si>
  <si>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</si>
  <si>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</si>
  <si>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</si>
  <si>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</si>
  <si>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</si>
  <si>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</si>
  <si>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</si>
  <si>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</si>
  <si>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</si>
  <si>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</si>
  <si>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</si>
  <si>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</si>
  <si>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</si>
  <si>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</si>
  <si>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</si>
  <si>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</si>
  <si>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</si>
  <si>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</si>
  <si>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</si>
  <si>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</si>
  <si>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</si>
  <si>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</si>
  <si>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</si>
  <si>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</si>
  <si>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</si>
  <si>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</si>
  <si>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</si>
  <si>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</si>
  <si>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</si>
  <si>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</si>
  <si>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</si>
  <si>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</si>
  <si>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</si>
  <si>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</si>
  <si>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</si>
  <si>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</si>
  <si>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</si>
  <si>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</si>
  <si>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</si>
  <si>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</si>
  <si>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</si>
  <si>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</si>
  <si>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</si>
  <si>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</si>
  <si>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</si>
  <si>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</si>
  <si>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</si>
  <si>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</si>
  <si>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</si>
  <si>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</si>
  <si>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</si>
  <si>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</si>
  <si>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</si>
  <si>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</si>
  <si>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</si>
  <si>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</si>
  <si>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</si>
  <si>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</si>
  <si>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</si>
  <si>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</si>
  <si>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</si>
  <si>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</si>
  <si>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</si>
  <si>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</si>
  <si>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</si>
  <si>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</si>
  <si>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</si>
  <si>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</si>
  <si>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</si>
  <si>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</si>
  <si>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</si>
  <si>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</si>
  <si>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</si>
  <si>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</si>
  <si>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</si>
  <si>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</si>
  <si>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</si>
  <si>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</si>
  <si>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</si>
  <si>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</si>
  <si>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</si>
  <si>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</si>
  <si>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</si>
  <si>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</si>
  <si>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</si>
  <si>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</si>
  <si>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</si>
  <si>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</si>
  <si>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</si>
  <si>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</si>
  <si>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</si>
  <si>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</si>
  <si>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</si>
  <si>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</si>
  <si>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</si>
  <si>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</si>
  <si>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</si>
  <si>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</si>
  <si>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</si>
  <si>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</si>
  <si>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</si>
  <si>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</si>
  <si>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</si>
  <si>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</si>
  <si>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</si>
  <si>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</si>
  <si>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</si>
  <si>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</si>
  <si>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</si>
  <si>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</si>
  <si>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</si>
  <si>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</si>
  <si>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</si>
  <si>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</si>
  <si>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</si>
  <si>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</si>
  <si>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</si>
  <si>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</si>
  <si>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</si>
  <si>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</si>
  <si>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</si>
  <si>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</si>
  <si>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</si>
  <si>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</si>
  <si>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</si>
  <si>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</si>
  <si>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</si>
  <si>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</si>
  <si>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</si>
  <si>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</si>
  <si>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</si>
  <si>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</si>
  <si>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</si>
  <si>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</si>
  <si>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</si>
  <si>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</si>
  <si>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</si>
  <si>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</si>
  <si>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</si>
  <si>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</si>
  <si>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</si>
  <si>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</si>
  <si>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</si>
  <si>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</si>
  <si>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</si>
  <si>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</si>
  <si>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</si>
  <si>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</si>
  <si>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</si>
  <si>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</si>
  <si>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</si>
  <si>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</si>
  <si>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</si>
  <si>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</si>
  <si>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</si>
  <si>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</si>
  <si>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</si>
  <si>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</si>
  <si>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</si>
  <si>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</si>
  <si>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</si>
  <si>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</si>
  <si>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</si>
  <si>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</si>
  <si>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</si>
  <si>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</si>
  <si>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</si>
  <si>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</si>
  <si>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</si>
  <si>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</si>
  <si>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</si>
  <si>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</si>
  <si>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</si>
  <si>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</si>
  <si>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</si>
  <si>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</si>
  <si>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</si>
  <si>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</si>
  <si>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</si>
  <si>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</si>
  <si>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</si>
  <si>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</si>
  <si>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</si>
  <si>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</si>
  <si>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</si>
  <si>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</si>
  <si>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</si>
  <si>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</si>
  <si>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</si>
  <si>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</si>
  <si>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</si>
  <si>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</si>
  <si>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</si>
  <si>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</si>
  <si>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</si>
  <si>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</si>
  <si>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</si>
  <si>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</si>
  <si>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</si>
  <si>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</si>
  <si>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</si>
  <si>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</si>
  <si>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</si>
  <si>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</si>
  <si>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</si>
  <si>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</si>
  <si>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</si>
  <si>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</si>
  <si>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</si>
  <si>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</si>
  <si>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</si>
  <si>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</si>
  <si>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</si>
  <si>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</si>
  <si>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</si>
  <si>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</si>
  <si>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</si>
  <si>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</si>
  <si>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</si>
  <si>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</si>
  <si>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</si>
  <si>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</si>
  <si>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</si>
  <si>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</si>
  <si>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</si>
  <si>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</si>
  <si>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</si>
  <si>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</si>
  <si>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</si>
  <si>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</si>
  <si>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</si>
  <si>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</si>
  <si>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</si>
  <si>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</si>
  <si>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</si>
  <si>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</si>
  <si>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</si>
  <si>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</si>
  <si>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</si>
  <si>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</si>
  <si>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</si>
  <si>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</si>
  <si>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</si>
  <si>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</si>
  <si>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</si>
  <si>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</si>
  <si>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</si>
  <si>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</si>
  <si>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</si>
  <si>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</si>
  <si>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</si>
  <si>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</si>
  <si>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</si>
  <si>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</si>
  <si>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</si>
  <si>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</si>
  <si>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</si>
  <si>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</si>
  <si>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</si>
  <si>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</si>
  <si>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</si>
  <si>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</si>
  <si>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</si>
  <si>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</si>
  <si>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</si>
  <si>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</si>
  <si>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</si>
  <si>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</si>
  <si>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</si>
  <si>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</si>
  <si>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</si>
  <si>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</si>
  <si>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</si>
  <si>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</si>
  <si>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</si>
  <si>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</si>
  <si>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</si>
  <si>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</si>
  <si>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</si>
  <si>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</si>
  <si>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</si>
  <si>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</si>
  <si>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</si>
  <si>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</si>
  <si>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</si>
  <si>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</si>
  <si>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</si>
  <si>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</si>
  <si>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</si>
  <si>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</si>
  <si>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</si>
  <si>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</si>
  <si>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</si>
  <si>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</si>
  <si>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</si>
  <si>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</si>
  <si>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</si>
  <si>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</si>
  <si>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</si>
  <si>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</si>
  <si>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</si>
  <si>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</si>
  <si>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</si>
  <si>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</si>
  <si>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</si>
  <si>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</si>
  <si>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</si>
  <si>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</si>
  <si>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</si>
  <si>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</si>
  <si>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</si>
  <si>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</si>
  <si>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</si>
  <si>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</si>
  <si>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</si>
  <si>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</si>
  <si>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</si>
  <si>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</si>
  <si>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</si>
  <si>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</si>
  <si>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</si>
  <si>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</si>
  <si>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</si>
  <si>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</si>
  <si>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</si>
  <si>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</si>
  <si>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</si>
  <si>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</si>
  <si>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</si>
  <si>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</si>
  <si>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</si>
  <si>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</si>
  <si>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</si>
  <si>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</si>
  <si>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</si>
  <si>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</si>
  <si>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</si>
  <si>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</si>
  <si>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</si>
  <si>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</si>
  <si>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</si>
  <si>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</si>
  <si>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</si>
  <si>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</si>
  <si>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</si>
  <si>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</si>
  <si>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</si>
  <si>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</si>
  <si>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</si>
  <si>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</si>
  <si>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</si>
  <si>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</si>
  <si>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</si>
  <si>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</si>
  <si>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</si>
  <si>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</si>
  <si>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</si>
  <si>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</si>
  <si>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</si>
  <si>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</si>
  <si>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</si>
  <si>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</si>
  <si>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</si>
  <si>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</si>
  <si>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</si>
  <si>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</si>
  <si>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</si>
  <si>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</si>
  <si>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</si>
  <si>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</si>
  <si>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</si>
  <si>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</si>
  <si>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</si>
  <si>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</si>
  <si>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</si>
  <si>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</si>
  <si>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</si>
  <si>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</si>
  <si>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</si>
  <si>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</si>
  <si>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</si>
  <si>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</si>
  <si>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</si>
  <si>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</si>
  <si>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</si>
  <si>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</si>
  <si>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</si>
  <si>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</si>
  <si>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</si>
  <si>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</si>
  <si>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</si>
  <si>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</si>
  <si>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</si>
  <si>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</si>
  <si>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</si>
  <si>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</si>
  <si>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</si>
  <si>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</si>
  <si>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</si>
  <si>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</si>
  <si>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</si>
  <si>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</si>
  <si>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</si>
  <si>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</si>
  <si>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</si>
  <si>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</si>
  <si>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</si>
  <si>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</si>
  <si>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</si>
  <si>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</si>
  <si>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</si>
  <si>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</si>
  <si>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</si>
  <si>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</si>
  <si>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</si>
  <si>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</si>
  <si>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</si>
  <si>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</si>
  <si>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</si>
  <si>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</si>
  <si>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</si>
  <si>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</si>
  <si>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</si>
  <si>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</si>
  <si>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</si>
  <si>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</si>
  <si>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</si>
  <si>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</si>
  <si>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</si>
  <si>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</si>
  <si>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</si>
  <si>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</si>
  <si>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</si>
  <si>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</si>
  <si>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</si>
  <si>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</si>
  <si>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</si>
  <si>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</si>
  <si>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</si>
  <si>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</si>
  <si>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</si>
  <si>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</si>
  <si>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</si>
  <si>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</si>
  <si>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</si>
  <si>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</si>
  <si>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</si>
  <si>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</si>
  <si>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</si>
  <si>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</si>
  <si>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</si>
  <si>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</si>
  <si>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</si>
  <si>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</si>
  <si>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</si>
  <si>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</si>
  <si>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</si>
  <si>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</si>
  <si>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</si>
  <si>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</si>
  <si>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</si>
  <si>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</si>
  <si>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</si>
  <si>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</si>
  <si>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</si>
  <si>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</si>
  <si>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</si>
  <si>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</si>
  <si>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</si>
  <si>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</si>
  <si>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</si>
  <si>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</si>
  <si>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</si>
  <si>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</si>
  <si>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</si>
  <si>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</si>
  <si>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</si>
  <si>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</si>
  <si>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</si>
  <si>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</si>
  <si>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</si>
  <si>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</si>
  <si>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</si>
  <si>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</si>
  <si>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</si>
  <si>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</si>
  <si>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</si>
  <si>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</si>
  <si>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</si>
  <si>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</si>
  <si>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</si>
  <si>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</si>
  <si>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</si>
  <si>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</si>
  <si>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</si>
  <si>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</si>
  <si>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</si>
  <si>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</si>
  <si>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</si>
  <si>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</si>
  <si>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</si>
  <si>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</si>
  <si>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</si>
  <si>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</si>
  <si>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</si>
  <si>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</si>
  <si>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</si>
  <si>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</si>
  <si>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</si>
  <si>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</si>
  <si>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</si>
  <si>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</si>
  <si>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</si>
  <si>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</si>
  <si>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</si>
  <si>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</si>
  <si>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</si>
  <si>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</si>
  <si>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</si>
  <si>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</si>
  <si>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</si>
  <si>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</si>
  <si>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</si>
  <si>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</si>
  <si>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</si>
  <si>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</si>
  <si>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</si>
  <si>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</si>
  <si>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</si>
  <si>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</si>
  <si>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</si>
  <si>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</si>
  <si>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</si>
  <si>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</si>
  <si>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</si>
  <si>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</si>
  <si>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</si>
  <si>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</si>
  <si>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</si>
  <si>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</si>
  <si>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</si>
  <si>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</si>
  <si>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</si>
  <si>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</si>
  <si>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</si>
  <si>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</si>
  <si>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</si>
  <si>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</si>
  <si>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</si>
  <si>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</si>
  <si>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</si>
  <si>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</si>
  <si>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</si>
  <si>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</si>
  <si>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</si>
  <si>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</si>
  <si>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</si>
  <si>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</si>
  <si>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</si>
  <si>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</si>
  <si>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</si>
  <si>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</si>
  <si>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</si>
  <si>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</si>
  <si>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</si>
  <si>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</si>
  <si>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</si>
  <si>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</si>
  <si>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</si>
  <si>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</si>
  <si>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</si>
  <si>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</si>
  <si>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</si>
  <si>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</si>
  <si>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</si>
  <si>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</si>
  <si>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</si>
  <si>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</si>
  <si>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</si>
  <si>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</si>
  <si>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</si>
  <si>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</si>
  <si>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</si>
  <si>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</si>
  <si>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</si>
  <si>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</si>
  <si>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</si>
  <si>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</si>
  <si>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</si>
  <si>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</si>
  <si>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</si>
  <si>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</si>
  <si>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</si>
  <si>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</si>
  <si>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</si>
  <si>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</si>
  <si>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</si>
  <si>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</si>
  <si>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</si>
  <si>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</si>
  <si>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</si>
  <si>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</si>
  <si>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</si>
  <si>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</si>
  <si>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</si>
  <si>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</si>
  <si>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</si>
  <si>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</si>
  <si>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</si>
  <si>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</si>
  <si>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</si>
  <si>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</si>
  <si>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</si>
  <si>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</si>
  <si>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</si>
  <si>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</si>
  <si>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</si>
  <si>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</si>
  <si>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</si>
  <si>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</si>
  <si>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</si>
  <si>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</si>
  <si>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</si>
  <si>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</si>
  <si>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</si>
  <si>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</si>
  <si>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</si>
  <si>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</si>
  <si>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</si>
  <si>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</si>
  <si>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</si>
  <si>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</si>
  <si>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</si>
  <si>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</si>
  <si>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</si>
  <si>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</si>
  <si>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</si>
  <si>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</si>
  <si>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</si>
  <si>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</si>
  <si>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</si>
  <si>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</si>
  <si>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</si>
  <si>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</si>
  <si>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</si>
  <si>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</si>
  <si>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</si>
  <si>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</si>
  <si>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</si>
  <si>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</si>
  <si>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</si>
  <si>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</si>
  <si>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</si>
  <si>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</si>
  <si>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</si>
  <si>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</si>
  <si>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</si>
  <si>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</si>
  <si>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</si>
  <si>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</si>
  <si>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</si>
  <si>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</si>
  <si>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</si>
  <si>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</si>
  <si>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</si>
  <si>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</si>
  <si>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</si>
  <si>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</si>
  <si>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</si>
  <si>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</si>
  <si>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</si>
  <si>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</si>
  <si>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</si>
  <si>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</si>
  <si>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</si>
  <si>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</si>
  <si>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</si>
  <si>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</si>
  <si>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</si>
  <si>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</si>
  <si>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</si>
  <si>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</si>
  <si>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</si>
  <si>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</si>
  <si>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</si>
  <si>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</si>
  <si>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</si>
  <si>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</si>
  <si>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</si>
  <si>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</si>
  <si>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</si>
  <si>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</si>
  <si>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</si>
  <si>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</si>
  <si>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</si>
  <si>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</si>
  <si>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</si>
  <si>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</si>
  <si>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</si>
  <si>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</si>
  <si>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</si>
  <si>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</si>
  <si>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</si>
  <si>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</si>
  <si>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</si>
  <si>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</si>
  <si>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</si>
  <si>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</si>
  <si>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</si>
  <si>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</si>
  <si>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</si>
  <si>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</si>
  <si>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</si>
  <si>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</si>
  <si>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</si>
  <si>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</si>
  <si>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</si>
  <si>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</si>
  <si>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</si>
  <si>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</si>
  <si>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</si>
  <si>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</si>
  <si>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</si>
  <si>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</si>
  <si>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</si>
  <si>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</si>
  <si>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</si>
  <si>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</si>
  <si>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</si>
  <si>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</si>
  <si>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</si>
  <si>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</si>
  <si>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</si>
  <si>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</si>
  <si>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</si>
  <si>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</si>
  <si>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</si>
  <si>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</si>
  <si>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</si>
  <si>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</si>
  <si>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</si>
  <si>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</si>
  <si>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</si>
  <si>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</si>
  <si>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</si>
  <si>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</si>
  <si>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</si>
  <si>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</si>
  <si>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</si>
  <si>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</si>
  <si>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</si>
  <si>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</si>
  <si>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</si>
  <si>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</si>
  <si>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</si>
  <si>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</si>
  <si>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</si>
  <si>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</si>
  <si>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</si>
  <si>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</si>
  <si>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</si>
  <si>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</si>
  <si>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</si>
  <si>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</si>
  <si>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</si>
  <si>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</si>
  <si>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</si>
  <si>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</si>
  <si>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</si>
  <si>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</si>
  <si>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</si>
  <si>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</si>
  <si>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</si>
  <si>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</si>
  <si>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</si>
  <si>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</si>
  <si>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</si>
  <si>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</si>
  <si>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</si>
  <si>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</si>
  <si>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</si>
  <si>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</si>
  <si>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</si>
  <si>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</si>
  <si>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</si>
  <si>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</si>
  <si>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</si>
  <si>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</si>
  <si>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</si>
  <si>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</si>
  <si>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</si>
  <si>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</si>
  <si>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</si>
  <si>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</si>
  <si>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</si>
  <si>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</si>
  <si>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</si>
  <si>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</si>
  <si>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</si>
  <si>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</si>
  <si>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</si>
  <si>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</si>
  <si>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</si>
  <si>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</si>
  <si>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</si>
  <si>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</si>
  <si>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</si>
  <si>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</si>
  <si>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</si>
  <si>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</si>
  <si>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</si>
  <si>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</si>
  <si>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</si>
  <si>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</si>
  <si>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</si>
  <si>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</si>
  <si>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</si>
  <si>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</si>
  <si>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</si>
  <si>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</si>
  <si>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</si>
  <si>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</si>
  <si>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</si>
  <si>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</si>
  <si>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</si>
  <si>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</si>
  <si>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</si>
  <si>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</si>
  <si>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</si>
  <si>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</si>
  <si>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</si>
  <si>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</si>
  <si>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</si>
  <si>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</si>
  <si>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</si>
  <si>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</si>
  <si>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</si>
  <si>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</si>
  <si>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</si>
  <si>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</si>
  <si>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</si>
  <si>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</si>
  <si>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</si>
  <si>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</si>
  <si>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</si>
  <si>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</si>
  <si>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</si>
  <si>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</si>
  <si>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</si>
  <si>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</si>
  <si>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</si>
  <si>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</si>
  <si>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</si>
  <si>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</si>
  <si>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</si>
  <si>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</si>
  <si>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</si>
  <si>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</si>
  <si>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</si>
  <si>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</si>
  <si>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</si>
  <si>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</si>
  <si>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</si>
  <si>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</si>
  <si>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</si>
  <si>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</si>
  <si>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</si>
  <si>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</si>
  <si>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</si>
  <si>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</si>
  <si>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</si>
  <si>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</si>
  <si>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</si>
  <si>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</si>
  <si>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</si>
  <si>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</si>
  <si>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</si>
  <si>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</si>
  <si>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</si>
  <si>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</si>
  <si>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</si>
  <si>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</si>
  <si>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</si>
  <si>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</si>
  <si>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</si>
  <si>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</si>
  <si>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</si>
  <si>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</si>
  <si>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</si>
  <si>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</si>
  <si>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</si>
  <si>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</si>
  <si>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</si>
  <si>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</si>
  <si>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</si>
  <si>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</si>
  <si>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</si>
  <si>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</si>
  <si>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</si>
  <si>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</si>
  <si>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</si>
  <si>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</si>
  <si>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</si>
  <si>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</si>
  <si>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</si>
  <si>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</si>
  <si>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</si>
  <si>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</si>
  <si>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</si>
  <si>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</si>
  <si>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</si>
  <si>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</si>
  <si>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</si>
  <si>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</si>
  <si>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</si>
  <si>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</si>
  <si>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</si>
  <si>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</si>
  <si>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</si>
  <si>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</si>
  <si>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</si>
  <si>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</si>
  <si>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</si>
  <si>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</si>
  <si>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</si>
  <si>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</si>
  <si>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</si>
  <si>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</si>
  <si>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</si>
  <si>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</si>
  <si>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</si>
  <si>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</si>
  <si>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</si>
  <si>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</si>
  <si>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</si>
  <si>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</si>
  <si>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</si>
  <si>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</si>
  <si>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</si>
  <si>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</si>
  <si>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</si>
  <si>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</si>
  <si>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</si>
  <si>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</si>
  <si>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</si>
  <si>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</si>
  <si>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</si>
  <si>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</si>
  <si>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</si>
  <si>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</si>
  <si>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</si>
  <si>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</si>
  <si>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</si>
  <si>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</si>
  <si>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</si>
  <si>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</si>
  <si>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</si>
  <si>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</si>
  <si>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</si>
  <si>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</si>
  <si>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</si>
  <si>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</si>
  <si>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</si>
  <si>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</si>
  <si>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</si>
  <si>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</si>
  <si>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</si>
  <si>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</si>
  <si>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</si>
  <si>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</si>
  <si>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</si>
  <si>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</si>
  <si>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</si>
  <si>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</si>
  <si>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</si>
  <si>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</si>
  <si>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</si>
  <si>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</si>
  <si>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</si>
  <si>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</si>
  <si>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</si>
  <si>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</si>
  <si>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</si>
  <si>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</si>
  <si>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</si>
  <si>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</si>
  <si>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</si>
  <si>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</si>
  <si>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</si>
  <si>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</si>
  <si>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</si>
  <si>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</si>
  <si>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</si>
  <si>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</si>
  <si>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</si>
  <si>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</si>
  <si>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</si>
  <si>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</si>
  <si>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</si>
  <si>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</si>
  <si>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</si>
  <si>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</si>
  <si>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</si>
  <si>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</si>
  <si>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</si>
  <si>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</si>
  <si>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</si>
  <si>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</si>
  <si>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</si>
  <si>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</si>
  <si>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</si>
  <si>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</si>
  <si>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</si>
  <si>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</si>
  <si>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</si>
  <si>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</si>
  <si>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</si>
  <si>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</si>
  <si>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</si>
  <si>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</si>
  <si>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</si>
  <si>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</si>
  <si>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</si>
  <si>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</si>
  <si>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</si>
  <si>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</si>
  <si>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</si>
  <si>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</si>
  <si>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</si>
  <si>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</si>
  <si>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</si>
  <si>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</si>
  <si>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</si>
  <si>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</si>
  <si>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</si>
  <si>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</si>
  <si>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</si>
  <si>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</si>
  <si>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</si>
  <si>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</si>
  <si>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</si>
  <si>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</si>
  <si>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</si>
  <si>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</si>
  <si>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</si>
  <si>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</si>
  <si>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</si>
  <si>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</si>
  <si>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</si>
  <si>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</si>
  <si>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</si>
  <si>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</si>
  <si>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</si>
  <si>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</si>
  <si>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</si>
  <si>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</si>
  <si>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</si>
  <si>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</si>
  <si>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</si>
  <si>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</si>
  <si>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</si>
  <si>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</si>
  <si>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</si>
  <si>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</si>
  <si>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</si>
  <si>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</si>
  <si>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</si>
  <si>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</si>
  <si>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</si>
  <si>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</si>
  <si>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</si>
  <si>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</si>
  <si>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</si>
  <si>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</si>
  <si>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</si>
  <si>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</si>
  <si>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</si>
  <si>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</si>
  <si>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</si>
  <si>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</si>
  <si>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</si>
  <si>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</si>
  <si>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</si>
  <si>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</si>
  <si>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</si>
  <si>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</si>
  <si>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</si>
  <si>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</si>
  <si>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</si>
  <si>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</si>
  <si>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</si>
  <si>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</si>
  <si>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</si>
  <si>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</si>
  <si>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</si>
  <si>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</si>
  <si>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</si>
  <si>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</si>
  <si>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</si>
  <si>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</si>
  <si>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</si>
  <si>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</si>
  <si>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</si>
  <si>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</si>
  <si>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</si>
  <si>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</si>
  <si>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</si>
  <si>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</si>
  <si>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</si>
  <si>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</si>
  <si>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</si>
  <si>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</si>
  <si>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</si>
  <si>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</si>
  <si>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</si>
  <si>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</si>
  <si>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</si>
  <si>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</si>
  <si>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</si>
  <si>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</si>
  <si>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</si>
  <si>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</si>
  <si>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</si>
  <si>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</si>
  <si>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</si>
  <si>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</si>
  <si>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</si>
  <si>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</si>
  <si>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</si>
  <si>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</si>
  <si>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</si>
  <si>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</si>
  <si>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</si>
  <si>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</si>
  <si>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</si>
  <si>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</si>
  <si>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</si>
  <si>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</si>
  <si>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</si>
  <si>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</si>
  <si>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</si>
  <si>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</si>
  <si>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</si>
  <si>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</si>
  <si>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</si>
  <si>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</si>
  <si>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</si>
  <si>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</si>
  <si>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</si>
  <si>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</si>
  <si>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</si>
  <si>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</si>
  <si>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</si>
  <si>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</si>
  <si>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</si>
  <si>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</si>
  <si>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</si>
  <si>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</si>
  <si>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</si>
  <si>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</si>
  <si>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</si>
  <si>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</si>
  <si>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</si>
  <si>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</si>
  <si>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</si>
  <si>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</si>
  <si>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</si>
  <si>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</si>
  <si>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</si>
  <si>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</si>
  <si>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</si>
  <si>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</si>
  <si>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</si>
  <si>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</si>
  <si>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</si>
  <si>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</si>
  <si>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</si>
  <si>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</si>
  <si>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</si>
  <si>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</si>
  <si>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</si>
  <si>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</si>
  <si>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</si>
  <si>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</si>
  <si>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</si>
  <si>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</si>
  <si>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</si>
  <si>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</si>
  <si>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</si>
  <si>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</si>
  <si>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</si>
  <si>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</si>
  <si>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</si>
  <si>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</si>
  <si>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</si>
  <si>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</si>
  <si>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</si>
  <si>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</si>
  <si>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</si>
  <si>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</si>
  <si>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</si>
  <si>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</si>
  <si>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</si>
  <si>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</si>
  <si>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</si>
  <si>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</si>
  <si>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</si>
  <si>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</si>
  <si>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</si>
  <si>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</si>
  <si>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</si>
  <si>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</si>
  <si>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</si>
  <si>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</si>
  <si>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</si>
  <si>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</si>
  <si>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</si>
  <si>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</si>
  <si>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</si>
  <si>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</si>
  <si>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</si>
  <si>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</si>
  <si>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</si>
  <si>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</si>
  <si>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</si>
  <si>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</si>
  <si>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</si>
  <si>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</si>
  <si>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</si>
  <si>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</si>
  <si>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</si>
  <si>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</si>
  <si>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</si>
  <si>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</si>
  <si>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</si>
  <si>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</si>
  <si>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</si>
  <si>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</si>
  <si>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</si>
  <si>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</si>
  <si>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</si>
  <si>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</si>
  <si>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</si>
  <si>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</si>
  <si>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</si>
  <si>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</si>
  <si>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</si>
  <si>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</si>
  <si>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</si>
  <si>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</si>
  <si>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</si>
  <si>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</si>
  <si>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</si>
  <si>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</si>
  <si>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</si>
  <si>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</si>
  <si>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</si>
  <si>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</si>
  <si>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</si>
  <si>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</si>
  <si>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</si>
  <si>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</si>
  <si>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</si>
  <si>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</si>
  <si>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</si>
  <si>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</si>
  <si>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</si>
  <si>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</si>
  <si>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</si>
  <si>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</si>
  <si>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</si>
  <si>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</si>
  <si>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</si>
  <si>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</si>
  <si>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</si>
  <si>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</si>
  <si>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</si>
  <si>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</si>
  <si>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</si>
  <si>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</si>
  <si>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</si>
  <si>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</si>
  <si>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</si>
  <si>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</si>
  <si>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</si>
  <si>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</si>
  <si>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</si>
  <si>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</si>
  <si>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</si>
  <si>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</si>
  <si>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</si>
  <si>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</si>
  <si>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</si>
  <si>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</si>
  <si>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</si>
  <si>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</si>
  <si>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</si>
  <si>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</si>
  <si>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</si>
  <si>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</si>
  <si>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</si>
  <si>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</si>
  <si>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</si>
  <si>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</si>
  <si>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</si>
  <si>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</si>
  <si>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</si>
  <si>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</si>
  <si>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</si>
  <si>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</si>
  <si>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</si>
  <si>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</si>
  <si>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</si>
  <si>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</si>
  <si>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</si>
  <si>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</si>
  <si>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</si>
  <si>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</si>
  <si>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</si>
  <si>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</si>
  <si>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</si>
  <si>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</si>
  <si>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</si>
  <si>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</si>
  <si>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</si>
  <si>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</si>
  <si>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</si>
  <si>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</si>
  <si>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</si>
  <si>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</si>
  <si>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</si>
  <si>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</si>
  <si>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</si>
  <si>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</si>
  <si>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</si>
  <si>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</si>
  <si>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</si>
  <si>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</si>
  <si>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</si>
  <si>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</si>
  <si>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</si>
  <si>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</si>
  <si>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</si>
  <si>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</si>
  <si>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</si>
  <si>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</si>
  <si>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</si>
  <si>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</si>
  <si>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</si>
  <si>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</si>
  <si>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</si>
  <si>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</si>
  <si>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</si>
  <si>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</si>
  <si>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</si>
  <si>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</si>
  <si>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</si>
  <si>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</si>
  <si>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</si>
  <si>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</si>
  <si>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</si>
  <si>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</si>
  <si>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</si>
  <si>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</si>
  <si>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</si>
  <si>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</si>
  <si>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</si>
  <si>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</si>
  <si>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</si>
  <si>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</si>
  <si>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</si>
  <si>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</si>
  <si>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</si>
  <si>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</si>
  <si>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</si>
  <si>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</si>
  <si>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</si>
  <si>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</si>
  <si>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</si>
  <si>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</si>
  <si>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</si>
  <si>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</si>
  <si>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</si>
  <si>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</si>
  <si>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</si>
  <si>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</si>
  <si>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</si>
  <si>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</si>
  <si>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</si>
  <si>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</si>
  <si>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</si>
  <si>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</si>
  <si>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</si>
  <si>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</si>
  <si>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</si>
  <si>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</si>
  <si>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</si>
  <si>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</si>
  <si>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</si>
  <si>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</si>
  <si>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</si>
  <si>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</si>
  <si>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</si>
  <si>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</si>
  <si>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</si>
  <si>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</si>
  <si>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</si>
  <si>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</si>
  <si>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</si>
  <si>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</si>
  <si>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</si>
  <si>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</si>
  <si>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</si>
  <si>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</si>
  <si>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</si>
  <si>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</si>
  <si>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</si>
  <si>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</si>
  <si>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</si>
  <si>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</si>
  <si>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</si>
  <si>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</si>
  <si>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</si>
  <si>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</si>
  <si>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</si>
  <si>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</si>
  <si>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</si>
  <si>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</si>
  <si>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</si>
  <si>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</si>
  <si>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</si>
  <si>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</si>
  <si>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</si>
  <si>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</si>
  <si>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</si>
  <si>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</si>
  <si>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</si>
  <si>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</si>
  <si>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</si>
  <si>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</si>
  <si>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</si>
  <si>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</si>
  <si>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</si>
  <si>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</si>
  <si>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</si>
  <si>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</si>
  <si>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</si>
  <si>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</si>
  <si>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</si>
  <si>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</si>
  <si>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</si>
  <si>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</si>
  <si>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</si>
  <si>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</si>
  <si>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</si>
  <si>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</si>
  <si>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</si>
  <si>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</si>
  <si>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</si>
  <si>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</si>
  <si>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</si>
  <si>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</si>
  <si>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</si>
  <si>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</si>
  <si>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</si>
  <si>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</si>
  <si>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</si>
  <si>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</si>
  <si>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</si>
  <si>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</si>
  <si>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</si>
  <si>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</si>
  <si>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</si>
  <si>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</si>
  <si>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</si>
  <si>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</si>
  <si>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</si>
  <si>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</si>
  <si>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</si>
  <si>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</si>
  <si>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</si>
  <si>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</si>
  <si>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</si>
  <si>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</si>
  <si>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</si>
  <si>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</si>
  <si>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</si>
  <si>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</si>
  <si>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</si>
  <si>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</si>
  <si>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</si>
  <si>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</si>
  <si>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</si>
  <si>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</si>
  <si>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</si>
  <si>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</si>
  <si>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</si>
  <si>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</si>
  <si>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</si>
  <si>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</si>
  <si>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</si>
  <si>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</si>
  <si>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</si>
  <si>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</si>
  <si>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</si>
  <si>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</si>
  <si>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</si>
  <si>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</si>
  <si>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</si>
  <si>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</si>
  <si>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</si>
  <si>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</si>
  <si>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</si>
  <si>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</si>
  <si>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</si>
  <si>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</si>
  <si>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</si>
  <si>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</si>
  <si>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</si>
  <si>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</si>
  <si>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</si>
  <si>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</si>
  <si>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</si>
  <si>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</si>
  <si>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</si>
  <si>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</si>
  <si>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</si>
  <si>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</si>
  <si>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</si>
  <si>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</si>
  <si>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</si>
  <si>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</si>
  <si>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</si>
  <si>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</si>
  <si>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</si>
  <si>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</si>
  <si>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</si>
  <si>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</si>
  <si>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</si>
  <si>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</si>
  <si>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</si>
  <si>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</si>
  <si>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</si>
  <si>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</si>
  <si>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</si>
  <si>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</si>
  <si>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</si>
  <si>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</si>
  <si>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</si>
  <si>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</si>
  <si>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</si>
  <si>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</si>
  <si>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</si>
  <si>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</si>
  <si>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</si>
  <si>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</si>
  <si>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</si>
  <si>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</si>
  <si>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</si>
  <si>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</si>
  <si>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</si>
  <si>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</si>
  <si>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</si>
  <si>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</si>
  <si>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</si>
  <si>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</si>
  <si>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</si>
  <si>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</si>
  <si>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</si>
  <si>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</si>
  <si>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</si>
  <si>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</si>
  <si>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</si>
  <si>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</si>
  <si>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</si>
  <si>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</si>
  <si>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</si>
  <si>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</si>
  <si>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</si>
  <si>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</si>
  <si>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</si>
  <si>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</si>
  <si>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</si>
  <si>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</si>
  <si>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</si>
  <si>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</si>
  <si>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</si>
  <si>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</si>
  <si>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</si>
  <si>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</si>
  <si>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</si>
  <si>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</si>
  <si>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</si>
  <si>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</si>
  <si>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</si>
  <si>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</si>
  <si>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</si>
  <si>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</si>
  <si>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</si>
  <si>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</si>
  <si>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</si>
  <si>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</si>
  <si>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</si>
  <si>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</si>
  <si>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</si>
  <si>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</si>
  <si>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</si>
  <si>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</si>
  <si>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</si>
  <si>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</si>
  <si>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</si>
  <si>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</si>
  <si>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</si>
  <si>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</si>
  <si>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</si>
  <si>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</si>
  <si>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</si>
  <si>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</si>
  <si>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</si>
  <si>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</si>
  <si>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</si>
  <si>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</si>
  <si>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</si>
  <si>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</si>
  <si>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</si>
  <si>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</si>
  <si>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</si>
  <si>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</si>
  <si>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</si>
  <si>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</si>
  <si>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</si>
  <si>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</si>
  <si>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</si>
  <si>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</si>
  <si>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</si>
  <si>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</si>
  <si>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</si>
  <si>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</si>
  <si>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</si>
  <si>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</si>
  <si>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</si>
  <si>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</si>
  <si>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</si>
  <si>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</si>
  <si>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</si>
  <si>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</si>
  <si>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</si>
  <si>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</si>
  <si>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</si>
  <si>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</si>
  <si>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</si>
  <si>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</si>
  <si>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</si>
  <si>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</si>
  <si>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</si>
  <si>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</si>
  <si>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</si>
  <si>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</si>
  <si>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</si>
  <si>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</si>
  <si>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</si>
  <si>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</si>
  <si>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</si>
  <si>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</si>
  <si>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</si>
  <si>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</si>
  <si>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</si>
  <si>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</si>
  <si>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</si>
  <si>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</si>
  <si>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</si>
  <si>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</si>
  <si>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</si>
  <si>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</si>
  <si>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</si>
  <si>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</si>
  <si>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</si>
  <si>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</si>
  <si>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</si>
  <si>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</si>
  <si>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</si>
  <si>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</si>
  <si>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</si>
  <si>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</si>
  <si>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</si>
  <si>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</si>
  <si>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</si>
  <si>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</si>
  <si>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</si>
  <si>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</si>
  <si>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</si>
  <si>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</si>
  <si>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</si>
  <si>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</si>
  <si>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</si>
  <si>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</si>
  <si>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</si>
  <si>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</si>
  <si>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</si>
  <si>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</si>
  <si>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</si>
  <si>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</si>
  <si>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</si>
  <si>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</si>
  <si>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</si>
  <si>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</si>
  <si>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</si>
  <si>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</si>
  <si>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</si>
  <si>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</si>
  <si>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</si>
  <si>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</si>
  <si>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</si>
  <si>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</si>
  <si>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</si>
  <si>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</si>
  <si>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</si>
  <si>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</si>
  <si>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</si>
  <si>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</si>
  <si>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</si>
  <si>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</si>
  <si>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</si>
  <si>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</si>
  <si>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</si>
  <si>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</si>
  <si>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</si>
  <si>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</si>
  <si>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</si>
  <si>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</si>
  <si>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</si>
  <si>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</si>
  <si>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</si>
  <si>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</si>
  <si>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</si>
  <si>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</si>
  <si>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</si>
  <si>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</si>
  <si>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</si>
  <si>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</si>
  <si>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</si>
  <si>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</si>
  <si>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</si>
  <si>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</si>
  <si>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</si>
  <si>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</si>
  <si>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</si>
  <si>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</si>
  <si>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</si>
  <si>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</si>
  <si>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</si>
  <si>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</si>
  <si>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</si>
  <si>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</si>
  <si>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</si>
  <si>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</si>
  <si>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</si>
  <si>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</si>
  <si>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</si>
  <si>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</si>
  <si>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</si>
  <si>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</si>
  <si>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</si>
  <si>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</si>
  <si>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</si>
  <si>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</si>
  <si>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</si>
  <si>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</si>
  <si>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</si>
  <si>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</si>
  <si>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</si>
  <si>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</si>
  <si>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</si>
  <si>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</si>
  <si>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</si>
  <si>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</si>
  <si>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</si>
  <si>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</si>
  <si>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</si>
  <si>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</si>
  <si>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</si>
  <si>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</si>
  <si>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</si>
  <si>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</si>
  <si>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</si>
  <si>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</si>
  <si>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</si>
  <si>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</si>
  <si>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</si>
  <si>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</si>
  <si>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</si>
  <si>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</si>
  <si>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</si>
  <si>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</si>
  <si>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</si>
  <si>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</si>
  <si>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</si>
  <si>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</si>
  <si>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</si>
  <si>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</si>
  <si>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</si>
  <si>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</si>
  <si>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</si>
  <si>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</si>
  <si>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</si>
  <si>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</si>
  <si>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</si>
  <si>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</si>
  <si>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</si>
  <si>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</si>
  <si>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</si>
  <si>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</si>
  <si>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</si>
  <si>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</si>
  <si>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</si>
  <si>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</si>
  <si>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</si>
  <si>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</si>
  <si>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</si>
  <si>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</si>
  <si>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</si>
  <si>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</si>
  <si>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</si>
  <si>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</si>
  <si>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</si>
  <si>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</si>
  <si>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</si>
  <si>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</si>
  <si>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</si>
  <si>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</si>
  <si>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</si>
  <si>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</si>
  <si>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</si>
  <si>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</si>
  <si>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</si>
  <si>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</si>
  <si>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</si>
  <si>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</si>
  <si>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</si>
  <si>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</si>
  <si>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</si>
  <si>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</si>
  <si>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</si>
  <si>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</si>
  <si>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</si>
  <si>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</si>
  <si>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</si>
  <si>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</si>
  <si>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</si>
  <si>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</si>
  <si>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</si>
  <si>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</si>
  <si>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</si>
  <si>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</si>
  <si>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</si>
  <si>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</si>
  <si>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</si>
  <si>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</si>
  <si>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</si>
  <si>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</si>
  <si>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</si>
  <si>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</si>
  <si>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</si>
  <si>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</si>
  <si>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</si>
  <si>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</si>
  <si>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</si>
  <si>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</si>
  <si>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</si>
  <si>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</si>
  <si>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</si>
  <si>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</si>
  <si>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</si>
  <si>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</si>
  <si>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</si>
  <si>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</si>
  <si>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</si>
  <si>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</si>
  <si>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</si>
  <si>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</si>
  <si>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</si>
  <si>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</si>
  <si>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</si>
  <si>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</si>
  <si>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</si>
  <si>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</si>
  <si>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</si>
  <si>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</si>
  <si>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</si>
  <si>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</si>
  <si>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</si>
  <si>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</si>
  <si>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</si>
  <si>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</si>
  <si>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</si>
  <si>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</si>
  <si>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</si>
  <si>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</si>
  <si>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</si>
  <si>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</si>
  <si>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</si>
  <si>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</si>
  <si>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</si>
  <si>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</si>
  <si>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</si>
  <si>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</si>
  <si>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</si>
  <si>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</si>
  <si>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</si>
  <si>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</si>
  <si>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</si>
  <si>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</si>
  <si>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</si>
  <si>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</si>
  <si>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</si>
  <si>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</si>
  <si>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</si>
  <si>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</si>
  <si>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</si>
  <si>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</si>
  <si>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</si>
  <si>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</si>
  <si>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</si>
  <si>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</si>
  <si>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</si>
  <si>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</si>
  <si>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</si>
  <si>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</si>
  <si>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</si>
  <si>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</si>
  <si>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</si>
  <si>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</si>
  <si>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</si>
  <si>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</si>
  <si>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</si>
  <si>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</si>
  <si>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</si>
  <si>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</si>
  <si>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</si>
  <si>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</si>
  <si>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</si>
  <si>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</si>
  <si>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</si>
  <si>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</si>
  <si>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</si>
  <si>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</si>
  <si>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</si>
  <si>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</si>
  <si>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</si>
  <si>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</si>
  <si>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</si>
  <si>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</si>
  <si>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</si>
  <si>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</si>
  <si>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</si>
  <si>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</si>
  <si>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</si>
  <si>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</si>
  <si>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</si>
  <si>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</si>
  <si>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</si>
  <si>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</si>
  <si>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</si>
  <si>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</si>
  <si>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</si>
  <si>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</si>
  <si>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</si>
  <si>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</si>
  <si>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</si>
  <si>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</si>
  <si>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</si>
  <si>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</si>
  <si>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</si>
  <si>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</si>
  <si>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</si>
  <si>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</si>
  <si>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</si>
  <si>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</si>
  <si>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</si>
  <si>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</si>
  <si>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</si>
  <si>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</si>
  <si>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</si>
  <si>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</si>
  <si>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</si>
  <si>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</si>
  <si>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</si>
  <si>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</si>
  <si>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</si>
  <si>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</si>
  <si>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</si>
  <si>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</si>
  <si>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</si>
  <si>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</si>
  <si>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</si>
  <si>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</si>
  <si>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</si>
  <si>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</si>
  <si>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</si>
  <si>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</si>
  <si>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</si>
  <si>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</si>
  <si>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</si>
  <si>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</si>
  <si>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</si>
  <si>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</si>
  <si>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</si>
  <si>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</si>
  <si>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</si>
  <si>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</si>
  <si>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</si>
  <si>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</si>
  <si>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</si>
  <si>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</si>
  <si>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</si>
  <si>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</si>
  <si>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</si>
  <si>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</si>
  <si>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</si>
  <si>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</si>
  <si>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</si>
  <si>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</si>
  <si>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</si>
  <si>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</si>
  <si>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</si>
  <si>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</si>
  <si>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</si>
  <si>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</si>
  <si>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</si>
  <si>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</si>
  <si>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</si>
  <si>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</si>
  <si>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</si>
  <si>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</si>
  <si>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</si>
  <si>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</si>
  <si>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</si>
  <si>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</si>
  <si>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</si>
  <si>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</si>
  <si>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</si>
  <si>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</si>
  <si>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</si>
  <si>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</si>
  <si>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</si>
  <si>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</si>
  <si>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</si>
  <si>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</si>
  <si>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</si>
  <si>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</si>
  <si>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</si>
  <si>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</si>
  <si>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</si>
  <si>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</si>
  <si>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</si>
  <si>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</si>
  <si>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</si>
  <si>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</si>
  <si>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</si>
  <si>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</si>
  <si>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</si>
  <si>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</si>
  <si>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</si>
  <si>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</si>
  <si>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</si>
  <si>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</si>
  <si>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</si>
  <si>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</si>
  <si>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</si>
  <si>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</si>
  <si>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</si>
  <si>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</si>
  <si>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</si>
  <si>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</si>
  <si>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</si>
  <si>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</si>
  <si>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</si>
  <si>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</si>
  <si>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</si>
  <si>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</si>
  <si>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</si>
  <si>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</si>
  <si>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</si>
  <si>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</si>
  <si>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</si>
  <si>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</si>
  <si>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</si>
  <si>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</si>
  <si>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</si>
  <si>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</si>
  <si>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</si>
  <si>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</si>
  <si>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</si>
  <si>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</si>
  <si>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</si>
  <si>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</si>
  <si>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</si>
  <si>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</si>
  <si>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</si>
  <si>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</si>
  <si>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</si>
  <si>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</si>
  <si>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</si>
  <si>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</si>
  <si>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</si>
  <si>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</si>
  <si>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</si>
  <si>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</si>
  <si>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</si>
  <si>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</si>
  <si>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</si>
  <si>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</si>
  <si>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</si>
  <si>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</si>
  <si>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</si>
  <si>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</si>
  <si>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</si>
  <si>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</si>
  <si>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</si>
  <si>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</si>
  <si>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</si>
  <si>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</si>
  <si>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</si>
  <si>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</si>
  <si>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</si>
  <si>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</si>
  <si>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</si>
  <si>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</si>
  <si>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</si>
  <si>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</si>
  <si>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</si>
  <si>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</si>
  <si>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</si>
  <si>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</si>
  <si>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</si>
  <si>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</si>
  <si>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</si>
  <si>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</si>
  <si>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</si>
  <si>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</si>
  <si>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</si>
  <si>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</si>
  <si>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</si>
  <si>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</si>
  <si>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</si>
  <si>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</si>
  <si>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</si>
  <si>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</si>
  <si>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</si>
  <si>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</si>
  <si>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</si>
  <si>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</si>
  <si>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</si>
  <si>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</si>
  <si>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</si>
  <si>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</si>
  <si>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</si>
  <si>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</si>
  <si>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</si>
  <si>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</si>
  <si>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</si>
  <si>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</si>
  <si>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</si>
  <si>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</si>
  <si>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</si>
  <si>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</si>
  <si>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</si>
  <si>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</si>
  <si>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</si>
  <si>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</si>
  <si>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</si>
  <si>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</si>
  <si>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</si>
  <si>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</si>
  <si>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</si>
  <si>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</si>
  <si>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</si>
  <si>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</si>
  <si>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</si>
  <si>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</si>
  <si>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</si>
  <si>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</si>
  <si>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</si>
  <si>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</si>
  <si>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</si>
  <si>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</si>
  <si>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</si>
  <si>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</si>
  <si>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</si>
  <si>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</si>
  <si>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</si>
  <si>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</si>
  <si>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</si>
  <si>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</si>
  <si>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</si>
  <si>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</si>
  <si>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</si>
  <si>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</si>
  <si>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</si>
  <si>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</si>
  <si>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</si>
  <si>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</si>
  <si>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</si>
  <si>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</si>
  <si>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</si>
  <si>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</si>
  <si>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</si>
  <si>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</si>
  <si>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</si>
  <si>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</si>
  <si>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</si>
  <si>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</si>
  <si>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</si>
  <si>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</si>
  <si>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</si>
  <si>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</si>
  <si>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</si>
  <si>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</si>
  <si>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</si>
  <si>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</si>
  <si>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</si>
  <si>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</si>
  <si>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</si>
  <si>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</si>
  <si>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</si>
  <si>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</si>
  <si>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</si>
  <si>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</si>
  <si>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</si>
  <si>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</si>
  <si>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</si>
  <si>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</si>
  <si>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</si>
  <si>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</si>
  <si>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</si>
  <si>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</si>
  <si>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</si>
  <si>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</si>
  <si>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</si>
  <si>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</si>
  <si>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</si>
  <si>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</si>
  <si>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</si>
  <si>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</si>
  <si>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</si>
  <si>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</si>
  <si>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</si>
  <si>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</si>
  <si>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</si>
  <si>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</si>
  <si>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</si>
  <si>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</si>
  <si>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</si>
  <si>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</si>
  <si>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</si>
  <si>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</si>
  <si>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</si>
  <si>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</si>
  <si>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</si>
  <si>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</si>
  <si>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</si>
  <si>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</si>
  <si>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</si>
  <si>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</si>
  <si>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</si>
  <si>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</si>
  <si>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</si>
  <si>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</si>
  <si>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</si>
  <si>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</si>
  <si>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</si>
  <si>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</si>
  <si>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</si>
  <si>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</si>
  <si>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</si>
  <si>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</si>
  <si>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</si>
  <si>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</si>
  <si>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</si>
  <si>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</si>
  <si>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</si>
  <si>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</si>
  <si>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</si>
  <si>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</si>
  <si>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</si>
  <si>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</si>
  <si>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</si>
  <si>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</si>
  <si>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</si>
  <si>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</si>
  <si>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</si>
  <si>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</si>
  <si>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</si>
  <si>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</si>
  <si>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</si>
  <si>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</si>
  <si>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</si>
  <si>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</si>
  <si>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</si>
  <si>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</si>
  <si>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</si>
  <si>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</si>
  <si>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</si>
  <si>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</si>
  <si>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</si>
  <si>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</si>
  <si>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</si>
  <si>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</si>
  <si>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</si>
  <si>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</si>
  <si>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</si>
  <si>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</si>
  <si>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</si>
  <si>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</si>
  <si>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</si>
  <si>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</si>
  <si>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</si>
  <si>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</si>
  <si>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</si>
  <si>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</si>
  <si>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</si>
  <si>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</si>
  <si>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</si>
  <si>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</si>
  <si>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</si>
  <si>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</si>
  <si>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</si>
  <si>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</si>
  <si>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</si>
  <si>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</si>
  <si>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</si>
  <si>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</si>
  <si>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</si>
  <si>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</si>
  <si>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</si>
  <si>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</si>
  <si>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</si>
  <si>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</si>
  <si>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</si>
  <si>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</si>
  <si>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</si>
  <si>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</si>
  <si>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</si>
  <si>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</si>
  <si>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</si>
  <si>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</si>
  <si>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</si>
  <si>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</si>
  <si>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</si>
  <si>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</si>
  <si>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</si>
  <si>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</si>
  <si>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</si>
  <si>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</si>
  <si>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</si>
  <si>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</si>
  <si>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</si>
  <si>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</si>
  <si>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</si>
  <si>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</si>
  <si>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</si>
  <si>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</si>
  <si>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</si>
  <si>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</si>
  <si>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</si>
  <si>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</si>
  <si>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</si>
  <si>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</si>
  <si>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</si>
  <si>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</si>
  <si>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</si>
  <si>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</si>
  <si>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</si>
  <si>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</si>
  <si>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</si>
  <si>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</si>
  <si>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</si>
  <si>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</si>
  <si>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</si>
  <si>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</si>
  <si>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</si>
  <si>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</si>
  <si>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</si>
  <si>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</si>
  <si>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</si>
  <si>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</si>
  <si>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</si>
  <si>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</si>
  <si>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</si>
  <si>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</si>
  <si>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</si>
  <si>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</si>
  <si>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</si>
  <si>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</si>
  <si>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</si>
  <si>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</si>
  <si>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</si>
  <si>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</si>
  <si>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</si>
  <si>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</si>
  <si>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</si>
  <si>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</si>
  <si>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</si>
  <si>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</si>
  <si>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</si>
  <si>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</si>
  <si>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</si>
  <si>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</si>
  <si>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</si>
  <si>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</si>
  <si>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</si>
  <si>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</si>
  <si>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</si>
  <si>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</si>
  <si>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</si>
  <si>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</si>
  <si>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</si>
  <si>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</si>
  <si>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</si>
  <si>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</si>
  <si>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</si>
  <si>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</si>
  <si>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</si>
  <si>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</si>
  <si>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</si>
  <si>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</si>
  <si>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</si>
  <si>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</si>
  <si>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</si>
  <si>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</si>
  <si>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</si>
  <si>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</si>
  <si>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</si>
  <si>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</si>
  <si>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</si>
  <si>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</si>
  <si>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</si>
  <si>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</si>
  <si>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</si>
  <si>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</si>
  <si>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</si>
  <si>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</si>
  <si>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</si>
  <si>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</si>
  <si>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</si>
  <si>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</si>
  <si>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</si>
  <si>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</si>
  <si>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</si>
  <si>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</si>
  <si>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</si>
  <si>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</si>
  <si>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</si>
  <si>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</si>
  <si>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</si>
  <si>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</si>
  <si>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</si>
  <si>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</si>
  <si>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</si>
  <si>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</si>
  <si>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</si>
  <si>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</si>
  <si>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</si>
  <si>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</si>
  <si>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</si>
  <si>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</si>
  <si>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</si>
  <si>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</si>
  <si>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</si>
  <si>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</si>
  <si>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</si>
  <si>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</si>
  <si>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</si>
  <si>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</si>
  <si>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</si>
  <si>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</si>
  <si>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</si>
  <si>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</si>
  <si>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</si>
  <si>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</si>
  <si>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</si>
  <si>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</si>
  <si>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</si>
  <si>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</si>
  <si>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</si>
  <si>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</si>
  <si>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</si>
  <si>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</si>
  <si>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</si>
  <si>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</si>
  <si>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</si>
  <si>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</si>
  <si>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</si>
  <si>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</si>
  <si>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</si>
  <si>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</si>
  <si>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</si>
  <si>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</si>
  <si>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</si>
  <si>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</si>
  <si>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</si>
  <si>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</si>
  <si>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</si>
  <si>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</si>
  <si>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</si>
  <si>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</si>
  <si>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</si>
  <si>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</si>
  <si>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</si>
  <si>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</si>
  <si>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</si>
  <si>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</si>
  <si>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</si>
  <si>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</si>
  <si>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</si>
  <si>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</si>
  <si>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</si>
  <si>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</si>
  <si>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</si>
  <si>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</si>
  <si>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</si>
  <si>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</si>
  <si>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</si>
  <si>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</si>
  <si>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</si>
  <si>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</si>
  <si>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</si>
  <si>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</si>
  <si>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</si>
  <si>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</si>
  <si>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</si>
  <si>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</si>
  <si>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</si>
  <si>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</si>
  <si>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</si>
  <si>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</si>
  <si>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</si>
  <si>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</si>
  <si>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</si>
  <si>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</si>
  <si>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</si>
  <si>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</si>
  <si>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</si>
  <si>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</si>
  <si>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</si>
  <si>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</si>
  <si>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</si>
  <si>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</si>
  <si>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</si>
  <si>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</si>
  <si>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</si>
  <si>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</si>
  <si>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</si>
  <si>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</si>
  <si>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</si>
  <si>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</si>
  <si>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</si>
  <si>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</si>
  <si>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</si>
  <si>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</si>
  <si>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</si>
  <si>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</si>
  <si>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</si>
  <si>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</si>
  <si>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</si>
  <si>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</si>
  <si>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</si>
  <si>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</si>
  <si>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</si>
  <si>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</si>
  <si>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</si>
  <si>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</si>
  <si>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</si>
  <si>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</si>
  <si>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</si>
  <si>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</si>
  <si>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</si>
  <si>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</si>
  <si>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</si>
  <si>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</si>
  <si>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</si>
  <si>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</si>
  <si>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</si>
  <si>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</si>
  <si>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</si>
  <si>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</si>
  <si>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</si>
  <si>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</si>
  <si>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</si>
  <si>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</si>
  <si>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</si>
  <si>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</si>
  <si>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</si>
  <si>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</si>
  <si>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</si>
  <si>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</si>
  <si>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</si>
  <si>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</si>
  <si>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</si>
  <si>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</si>
  <si>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</si>
  <si>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</si>
  <si>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</si>
  <si>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</si>
  <si>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</si>
  <si>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</si>
  <si>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</si>
  <si>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</si>
  <si>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</si>
  <si>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</si>
  <si>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</si>
  <si>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</si>
  <si>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</si>
  <si>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</si>
  <si>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</si>
  <si>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</si>
  <si>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</si>
  <si>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</si>
  <si>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</si>
  <si>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</si>
  <si>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</si>
  <si>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</si>
  <si>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</si>
  <si>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</si>
  <si>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</si>
  <si>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</si>
  <si>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</si>
  <si>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</si>
  <si>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</si>
  <si>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</si>
  <si>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</si>
  <si>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</si>
  <si>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</si>
  <si>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</si>
  <si>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</si>
  <si>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</si>
  <si>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</si>
  <si>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</si>
  <si>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</si>
  <si>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</si>
  <si>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</si>
  <si>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</si>
  <si>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</si>
  <si>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</si>
  <si>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</si>
  <si>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</si>
  <si>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</si>
  <si>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</si>
  <si>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</si>
  <si>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</si>
  <si>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</si>
  <si>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</si>
  <si>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</si>
  <si>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</si>
  <si>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</si>
  <si>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</si>
  <si>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</si>
  <si>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</si>
  <si>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</si>
  <si>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</si>
  <si>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</si>
  <si>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</si>
  <si>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</si>
  <si>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</si>
  <si>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</si>
  <si>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</si>
  <si>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</si>
  <si>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</si>
  <si>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</si>
  <si>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</si>
  <si>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</si>
  <si>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</si>
  <si>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</si>
  <si>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</si>
  <si>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</si>
  <si>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</si>
  <si>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</si>
  <si>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</si>
  <si>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</si>
  <si>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</si>
  <si>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</si>
  <si>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</si>
  <si>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</si>
  <si>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</si>
  <si>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</si>
  <si>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</si>
  <si>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</si>
  <si>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</si>
  <si>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</si>
  <si>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</si>
  <si>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</si>
  <si>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</si>
  <si>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</si>
  <si>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</si>
  <si>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</si>
  <si>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</si>
  <si>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</si>
  <si>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</si>
  <si>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</si>
  <si>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</si>
  <si>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</si>
  <si>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</si>
  <si>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</si>
  <si>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</si>
  <si>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</si>
  <si>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</si>
  <si>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</si>
  <si>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</si>
  <si>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</si>
  <si>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</si>
  <si>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</si>
  <si>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</si>
  <si>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</si>
  <si>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</si>
  <si>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</si>
  <si>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</si>
  <si>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</si>
  <si>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</si>
  <si>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</si>
  <si>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</si>
  <si>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</si>
  <si>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</si>
  <si>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</si>
  <si>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</si>
  <si>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</si>
  <si>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</si>
  <si>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</si>
  <si>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</si>
  <si>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</si>
  <si>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</si>
  <si>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</si>
  <si>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</si>
  <si>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</si>
  <si>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</si>
  <si>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</si>
  <si>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</si>
  <si>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</si>
  <si>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</si>
  <si>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</si>
  <si>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</si>
  <si>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</si>
  <si>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</si>
  <si>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</si>
  <si>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</si>
  <si>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</si>
  <si>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</si>
  <si>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</si>
  <si>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</si>
  <si>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</si>
  <si>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</si>
  <si>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</si>
  <si>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</si>
  <si>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</si>
  <si>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</si>
  <si>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</si>
  <si>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</si>
  <si>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</si>
  <si>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</si>
  <si>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</si>
  <si>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</si>
  <si>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</si>
  <si>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</si>
  <si>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</si>
  <si>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</si>
  <si>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</si>
  <si>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</si>
  <si>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</si>
  <si>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</si>
  <si>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</si>
  <si>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</si>
  <si>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</si>
  <si>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</si>
  <si>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</si>
  <si>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</si>
  <si>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</si>
  <si>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</si>
  <si>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</si>
  <si>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</si>
  <si>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</si>
  <si>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</si>
  <si>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</si>
  <si>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</si>
  <si>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</si>
  <si>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</si>
  <si>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</si>
  <si>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</si>
  <si>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</si>
  <si>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</si>
  <si>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</si>
  <si>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</si>
  <si>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</si>
  <si>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</si>
  <si>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</si>
  <si>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</si>
  <si>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</si>
  <si>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</si>
  <si>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</si>
  <si>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</si>
  <si>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</si>
  <si>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</si>
  <si>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</si>
  <si>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</si>
  <si>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</si>
  <si>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</si>
  <si>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</si>
  <si>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</si>
  <si>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</si>
  <si>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</si>
  <si>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</si>
  <si>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</si>
  <si>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</si>
  <si>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</si>
  <si>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</si>
  <si>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</si>
  <si>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</si>
  <si>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</si>
  <si>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</si>
  <si>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</si>
  <si>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</si>
  <si>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</si>
  <si>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</si>
  <si>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</si>
  <si>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</si>
  <si>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</si>
  <si>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</si>
  <si>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</si>
  <si>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</si>
  <si>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</si>
  <si>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</si>
  <si>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</si>
  <si>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</si>
  <si>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</si>
  <si>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</si>
  <si>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</si>
  <si>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</si>
  <si>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</si>
  <si>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</si>
  <si>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</si>
  <si>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</si>
  <si>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</si>
  <si>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</si>
  <si>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</si>
  <si>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</si>
  <si>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</si>
  <si>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</si>
  <si>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</si>
  <si>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</si>
  <si>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</si>
  <si>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</si>
  <si>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</si>
  <si>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</si>
  <si>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</si>
  <si>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</si>
  <si>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</si>
  <si>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</si>
  <si>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</si>
  <si>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</si>
  <si>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</si>
  <si>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</si>
  <si>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</si>
  <si>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</si>
  <si>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</si>
  <si>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</si>
  <si>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</si>
  <si>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</si>
  <si>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</si>
  <si>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</si>
  <si>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</si>
  <si>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</si>
  <si>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</si>
  <si>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</si>
  <si>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</si>
  <si>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</si>
  <si>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</si>
  <si>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</si>
  <si>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</si>
  <si>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</si>
  <si>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</si>
  <si>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</si>
  <si>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</si>
  <si>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</si>
  <si>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</si>
  <si>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</si>
  <si>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</si>
  <si>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</si>
  <si>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</si>
  <si>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</si>
  <si>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</si>
  <si>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</si>
  <si>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</si>
  <si>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</si>
  <si>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</si>
  <si>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</si>
  <si>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</si>
  <si>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</si>
  <si>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</si>
  <si>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</si>
  <si>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</si>
  <si>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</si>
  <si>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</si>
  <si>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</si>
  <si>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</si>
  <si>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</si>
  <si>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</si>
  <si>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</si>
  <si>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</si>
  <si>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</si>
  <si>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</si>
  <si>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</si>
  <si>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</si>
  <si>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</si>
  <si>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</si>
  <si>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</si>
  <si>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</si>
  <si>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</si>
  <si>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</si>
  <si>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</si>
  <si>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</si>
  <si>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</si>
  <si>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</si>
  <si>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</si>
  <si>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</si>
  <si>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</si>
  <si>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</si>
  <si>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</si>
  <si>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</si>
  <si>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</si>
  <si>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</si>
  <si>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</si>
  <si>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</si>
  <si>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</si>
  <si>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</si>
  <si>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</si>
  <si>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</si>
  <si>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</si>
  <si>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</si>
  <si>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</si>
  <si>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</si>
  <si>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</si>
  <si>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</si>
  <si>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</si>
  <si>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</si>
  <si>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</si>
  <si>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</si>
  <si>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</si>
  <si>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</si>
  <si>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</si>
  <si>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</si>
  <si>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</si>
  <si>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</si>
  <si>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</si>
  <si>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</si>
  <si>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</si>
  <si>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</si>
  <si>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</si>
  <si>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</si>
  <si>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</si>
  <si>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</si>
  <si>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</si>
  <si>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</si>
  <si>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</si>
  <si>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</si>
  <si>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</si>
  <si>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</si>
  <si>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</si>
  <si>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</si>
  <si>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</si>
  <si>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</si>
  <si>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</si>
  <si>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</si>
  <si>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</si>
  <si>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</si>
  <si>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</si>
  <si>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</si>
  <si>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</si>
  <si>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</si>
  <si>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</si>
  <si>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</si>
  <si>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</si>
  <si>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</si>
  <si>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</si>
  <si>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</si>
  <si>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</si>
  <si>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</si>
  <si>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</si>
  <si>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</si>
  <si>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</si>
  <si>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</si>
  <si>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</si>
  <si>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</si>
  <si>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</si>
  <si>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</si>
  <si>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</si>
  <si>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</si>
  <si>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</si>
  <si>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</si>
  <si>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</si>
  <si>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</si>
  <si>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</si>
  <si>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</si>
  <si>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</si>
  <si>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</si>
  <si>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</si>
  <si>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</si>
  <si>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</si>
  <si>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</si>
  <si>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</si>
  <si>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</si>
  <si>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</si>
  <si>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</si>
  <si>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</si>
  <si>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</si>
  <si>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</si>
  <si>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</si>
  <si>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</si>
  <si>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</si>
  <si>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</si>
  <si>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</si>
  <si>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</si>
  <si>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</si>
  <si>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</si>
  <si>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</si>
  <si>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</si>
  <si>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</si>
  <si>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</si>
  <si>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</si>
  <si>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</si>
  <si>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</si>
  <si>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</si>
  <si>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</si>
  <si>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</si>
  <si>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</si>
  <si>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</si>
  <si>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</si>
  <si>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</si>
  <si>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</si>
  <si>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</si>
  <si>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</si>
  <si>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</si>
  <si>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</si>
  <si>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</si>
  <si>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</si>
  <si>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</si>
  <si>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</si>
  <si>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</si>
  <si>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</si>
  <si>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</si>
  <si>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</si>
  <si>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</si>
  <si>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</si>
  <si>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</si>
  <si>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</si>
  <si>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</si>
  <si>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</si>
  <si>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</si>
  <si>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</si>
  <si>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</si>
  <si>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</si>
  <si>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</si>
  <si>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</si>
  <si>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</si>
  <si>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</si>
  <si>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</si>
  <si>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</si>
  <si>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</si>
  <si>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</si>
  <si>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</si>
  <si>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</si>
  <si>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</si>
  <si>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</si>
  <si>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</si>
  <si>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</si>
  <si>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</si>
  <si>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</si>
  <si>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</si>
  <si>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</si>
  <si>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</si>
  <si>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</si>
  <si>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</si>
  <si>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</si>
  <si>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</si>
  <si>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</si>
  <si>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</si>
  <si>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</si>
  <si>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</si>
  <si>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</si>
  <si>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</si>
  <si>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</si>
  <si>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</si>
  <si>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</si>
  <si>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</si>
  <si>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</si>
  <si>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</si>
  <si>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</si>
  <si>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</si>
  <si>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</si>
  <si>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</si>
  <si>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</si>
  <si>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</si>
  <si>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</si>
  <si>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</si>
  <si>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</si>
  <si>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</si>
  <si>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</si>
  <si>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</si>
  <si>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</si>
  <si>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</si>
  <si>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</si>
  <si>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</si>
  <si>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</si>
  <si>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</si>
  <si>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</si>
  <si>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</si>
  <si>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</si>
  <si>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</si>
  <si>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</si>
  <si>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</si>
  <si>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</si>
  <si>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</si>
  <si>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</si>
  <si>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</si>
  <si>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</si>
  <si>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</si>
  <si>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</si>
  <si>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</si>
  <si>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</si>
  <si>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</si>
  <si>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</si>
  <si>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</si>
  <si>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</si>
  <si>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</si>
  <si>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</si>
  <si>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</si>
  <si>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</si>
  <si>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</si>
  <si>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</si>
  <si>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</si>
  <si>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</si>
  <si>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</si>
  <si>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</si>
  <si>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</si>
  <si>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</si>
  <si>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</si>
  <si>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</si>
  <si>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</si>
  <si>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</si>
  <si>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</si>
  <si>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</si>
  <si>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</si>
  <si>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</si>
  <si>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</si>
  <si>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</si>
  <si>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</si>
  <si>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</si>
  <si>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</si>
  <si>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</si>
  <si>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</si>
  <si>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</si>
  <si>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</si>
  <si>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</si>
  <si>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</si>
  <si>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</si>
  <si>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</si>
  <si>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</si>
  <si>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</si>
  <si>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</si>
  <si>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</si>
  <si>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</si>
  <si>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</si>
  <si>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</si>
  <si>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</si>
  <si>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</si>
  <si>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</si>
  <si>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</si>
  <si>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</si>
  <si>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</si>
  <si>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</si>
  <si>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</si>
  <si>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</si>
  <si>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</si>
  <si>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</si>
  <si>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</si>
  <si>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</si>
  <si>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</si>
  <si>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</si>
  <si>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</si>
  <si>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</si>
  <si>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</si>
  <si>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</si>
  <si>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</si>
  <si>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</si>
  <si>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</si>
  <si>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</si>
  <si>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</si>
  <si>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</si>
  <si>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</si>
  <si>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</si>
  <si>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</si>
  <si>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</si>
  <si>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</si>
  <si>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</si>
  <si>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</si>
  <si>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</si>
  <si>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</si>
  <si>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</si>
  <si>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</si>
  <si>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</si>
  <si>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</si>
  <si>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</si>
  <si>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</si>
  <si>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</si>
  <si>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</si>
  <si>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</si>
  <si>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</si>
  <si>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</si>
  <si>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</si>
  <si>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</si>
  <si>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</si>
  <si>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</si>
  <si>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</si>
  <si>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</si>
  <si>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</si>
  <si>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</si>
  <si>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</si>
  <si>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</si>
  <si>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</si>
  <si>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</si>
  <si>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</si>
  <si>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</si>
  <si>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</si>
  <si>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</si>
  <si>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</si>
  <si>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</si>
  <si>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</si>
  <si>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</si>
  <si>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</si>
  <si>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</si>
  <si>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</si>
  <si>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</si>
  <si>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</si>
  <si>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</si>
  <si>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</si>
  <si>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</si>
  <si>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</si>
  <si>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</si>
  <si>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</si>
  <si>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</si>
  <si>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</si>
  <si>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</si>
  <si>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</si>
  <si>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</si>
  <si>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</si>
  <si>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</si>
  <si>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</si>
  <si>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</si>
  <si>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</si>
  <si>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</si>
  <si>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</si>
  <si>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</si>
  <si>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</si>
  <si>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</si>
  <si>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</si>
  <si>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</si>
  <si>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</si>
  <si>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</si>
  <si>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</si>
  <si>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</si>
  <si>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</si>
  <si>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</si>
  <si>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</si>
  <si>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</si>
  <si>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</si>
  <si>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</si>
  <si>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</si>
  <si>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</si>
  <si>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</si>
  <si>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</si>
  <si>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</si>
  <si>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</si>
  <si>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</si>
  <si>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</si>
  <si>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</si>
  <si>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</si>
  <si>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</si>
  <si>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</si>
  <si>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</si>
  <si>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</si>
  <si>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</si>
  <si>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</si>
  <si>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</si>
  <si>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</si>
  <si>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</si>
  <si>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</si>
  <si>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</si>
  <si>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</si>
  <si>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</si>
  <si>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</si>
  <si>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</si>
  <si>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</si>
  <si>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</si>
  <si>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</si>
  <si>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</si>
  <si>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</si>
  <si>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</si>
  <si>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</si>
  <si>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</si>
  <si>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</si>
  <si>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</si>
  <si>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</si>
  <si>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</si>
  <si>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</si>
  <si>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</si>
  <si>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</si>
  <si>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</si>
  <si>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</si>
  <si>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</si>
  <si>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</si>
  <si>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</si>
  <si>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</si>
  <si>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</si>
  <si>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</si>
  <si>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</si>
  <si>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</si>
  <si>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</si>
  <si>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</si>
  <si>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</si>
  <si>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</si>
  <si>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</si>
  <si>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</si>
  <si>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</si>
  <si>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</si>
  <si>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</si>
  <si>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</si>
  <si>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</si>
  <si>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</si>
  <si>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</si>
  <si>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</si>
  <si>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</si>
  <si>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</si>
  <si>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</si>
  <si>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</si>
  <si>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</si>
  <si>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</si>
  <si>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</si>
  <si>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</si>
  <si>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</si>
  <si>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</si>
  <si>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</si>
  <si>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</si>
  <si>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</si>
  <si>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</si>
  <si>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</si>
  <si>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</si>
  <si>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</si>
  <si>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</si>
  <si>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</si>
  <si>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</si>
  <si>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</si>
  <si>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</si>
  <si>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</si>
  <si>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</si>
  <si>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</si>
  <si>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</si>
  <si>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</si>
  <si>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</si>
  <si>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</si>
  <si>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</si>
  <si>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</si>
  <si>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</si>
  <si>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</si>
  <si>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</si>
  <si>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</si>
  <si>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</si>
  <si>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</si>
  <si>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</si>
  <si>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</si>
  <si>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</si>
  <si>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</si>
  <si>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</si>
  <si>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</si>
  <si>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</si>
  <si>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</si>
  <si>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</si>
  <si>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</si>
  <si>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</si>
  <si>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</si>
  <si>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</si>
  <si>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</si>
  <si>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</si>
  <si>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</si>
  <si>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</si>
  <si>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</si>
  <si>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</si>
  <si>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</si>
  <si>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</si>
  <si>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</si>
  <si>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</si>
  <si>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</si>
  <si>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</si>
  <si>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</si>
  <si>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</si>
  <si>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</si>
  <si>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</si>
  <si>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</si>
  <si>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</si>
  <si>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</si>
  <si>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</si>
  <si>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</si>
  <si>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</si>
  <si>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</si>
  <si>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</si>
  <si>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</si>
  <si>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</si>
  <si>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</si>
  <si>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</si>
  <si>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</si>
  <si>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</si>
  <si>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</si>
  <si>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</si>
  <si>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</si>
  <si>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</si>
  <si>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</si>
  <si>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</si>
  <si>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</si>
  <si>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</si>
  <si>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</si>
  <si>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</si>
  <si>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</si>
  <si>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</si>
  <si>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</si>
  <si>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</si>
  <si>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</si>
  <si>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</si>
  <si>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</si>
  <si>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</si>
  <si>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</si>
  <si>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</si>
  <si>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</si>
  <si>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</si>
  <si>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</si>
  <si>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</si>
  <si>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</si>
  <si>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</si>
  <si>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</si>
  <si>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</si>
  <si>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</si>
  <si>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</si>
  <si>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</si>
  <si>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</si>
  <si>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</si>
  <si>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</si>
  <si>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</si>
  <si>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</si>
  <si>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</si>
  <si>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</si>
  <si>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</si>
  <si>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</si>
  <si>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</si>
  <si>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</si>
  <si>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</si>
  <si>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</si>
  <si>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</si>
  <si>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</si>
  <si>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</si>
  <si>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</si>
  <si>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</si>
  <si>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</si>
  <si>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</si>
  <si>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</si>
  <si>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</si>
  <si>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</si>
  <si>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</si>
  <si>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</si>
  <si>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</si>
  <si>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</si>
  <si>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</si>
  <si>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</si>
  <si>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</si>
  <si>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</si>
  <si>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</si>
  <si>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</si>
  <si>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</si>
  <si>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</si>
  <si>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</si>
  <si>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</si>
  <si>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</si>
  <si>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</si>
  <si>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</si>
  <si>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</si>
  <si>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</si>
  <si>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</si>
  <si>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</si>
  <si>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</si>
  <si>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</si>
  <si>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</si>
  <si>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</si>
  <si>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</si>
  <si>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</si>
  <si>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</si>
  <si>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</si>
  <si>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</si>
  <si>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</si>
  <si>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</si>
  <si>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</si>
  <si>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</si>
  <si>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</si>
  <si>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</si>
  <si>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</si>
  <si>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</si>
  <si>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</si>
  <si>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</si>
  <si>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</si>
  <si>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</si>
  <si>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</si>
  <si>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</si>
  <si>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</si>
  <si>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</si>
  <si>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</si>
  <si>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</si>
  <si>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</si>
  <si>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</si>
  <si>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</si>
  <si>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</si>
  <si>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</si>
  <si>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</si>
  <si>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</si>
  <si>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</si>
  <si>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</si>
  <si>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</si>
  <si>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</si>
  <si>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</si>
  <si>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</si>
  <si>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</si>
  <si>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</si>
  <si>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</si>
  <si>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</si>
  <si>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</si>
  <si>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</si>
  <si>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</si>
  <si>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</si>
  <si>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</si>
  <si>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</si>
  <si>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</si>
  <si>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</si>
  <si>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</si>
  <si>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</si>
  <si>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</si>
  <si>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</si>
  <si>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</si>
  <si>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</si>
  <si>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</si>
  <si>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</si>
  <si>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</si>
  <si>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</si>
  <si>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</si>
  <si>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</si>
  <si>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</si>
  <si>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</si>
  <si>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</si>
  <si>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</si>
  <si>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</si>
  <si>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</si>
  <si>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</si>
  <si>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</si>
  <si>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</si>
  <si>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</si>
  <si>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</si>
  <si>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</si>
  <si>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</si>
  <si>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</si>
  <si>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</si>
  <si>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</si>
  <si>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</si>
  <si>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</si>
  <si>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</si>
  <si>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</si>
  <si>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</si>
  <si>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</si>
  <si>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</si>
  <si>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</si>
  <si>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</si>
  <si>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</si>
  <si>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</si>
  <si>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</si>
  <si>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</si>
  <si>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</si>
  <si>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</si>
  <si>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</si>
  <si>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</si>
  <si>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</si>
  <si>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</si>
  <si>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</si>
  <si>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</si>
  <si>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</si>
  <si>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</si>
  <si>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</si>
  <si>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</si>
  <si>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</si>
  <si>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</si>
  <si>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</si>
  <si>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</si>
  <si>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</si>
  <si>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</si>
  <si>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</si>
  <si>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</si>
  <si>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</si>
  <si>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</si>
  <si>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</si>
  <si>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</si>
  <si>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</si>
  <si>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</si>
  <si>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</si>
  <si>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</si>
  <si>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</si>
  <si>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</si>
  <si>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</si>
  <si>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</si>
  <si>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</si>
  <si>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</si>
  <si>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</si>
  <si>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</si>
  <si>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</si>
  <si>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</si>
  <si>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</si>
  <si>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</si>
  <si>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</si>
  <si>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</si>
  <si>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</si>
  <si>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</si>
  <si>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</si>
  <si>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</si>
  <si>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</si>
  <si>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</si>
  <si>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</si>
  <si>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</si>
  <si>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</si>
  <si>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</si>
  <si>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</si>
  <si>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</si>
  <si>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</si>
  <si>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</si>
  <si>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</si>
  <si>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</si>
  <si>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</si>
  <si>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</si>
  <si>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</si>
  <si>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</si>
  <si>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</si>
  <si>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</si>
  <si>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</si>
  <si>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</si>
  <si>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</si>
  <si>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</si>
  <si>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</si>
  <si>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</si>
  <si>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</si>
  <si>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</si>
  <si>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</si>
  <si>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</si>
  <si>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</si>
  <si>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</si>
  <si>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</si>
  <si>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</si>
  <si>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</si>
  <si>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</si>
  <si>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</si>
  <si>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</si>
  <si>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</si>
  <si>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</si>
  <si>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</si>
  <si>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</si>
  <si>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</si>
  <si>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</si>
  <si>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</si>
  <si>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</si>
  <si>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</si>
  <si>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</si>
  <si>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</si>
  <si>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</si>
  <si>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</si>
  <si>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</si>
  <si>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</si>
  <si>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</si>
  <si>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</si>
  <si>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</si>
  <si>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</si>
  <si>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</si>
  <si>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</si>
  <si>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</si>
  <si>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</si>
  <si>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</si>
  <si>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</si>
  <si>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</si>
  <si>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</si>
  <si>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</si>
  <si>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</si>
  <si>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</si>
  <si>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</si>
  <si>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</si>
  <si>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</si>
  <si>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</si>
  <si>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</si>
  <si>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</si>
  <si>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</si>
  <si>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</si>
  <si>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</si>
  <si>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</si>
  <si>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</si>
  <si>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</si>
  <si>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</si>
  <si>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</si>
  <si>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</si>
  <si>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</si>
  <si>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</si>
  <si>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</si>
  <si>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</si>
  <si>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</si>
  <si>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</si>
  <si>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</si>
  <si>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</si>
  <si>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</si>
  <si>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</si>
  <si>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</si>
  <si>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</si>
  <si>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</si>
  <si>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</si>
  <si>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</si>
  <si>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</si>
  <si>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</si>
  <si>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</si>
  <si>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</si>
  <si>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</si>
  <si>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</si>
  <si>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</si>
  <si>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</si>
  <si>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</si>
  <si>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</si>
  <si>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</si>
  <si>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</si>
  <si>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</si>
  <si>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</si>
  <si>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</si>
  <si>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</si>
  <si>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</si>
  <si>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</si>
  <si>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</si>
  <si>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</si>
  <si>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</si>
  <si>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</si>
  <si>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</si>
  <si>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</si>
  <si>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</si>
  <si>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</si>
  <si>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</si>
  <si>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</si>
  <si>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</si>
  <si>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</si>
  <si>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</si>
  <si>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</si>
  <si>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</si>
  <si>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</si>
  <si>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</si>
  <si>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</si>
  <si>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</si>
  <si>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</si>
  <si>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</si>
  <si>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</si>
  <si>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</si>
  <si>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</si>
  <si>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</si>
  <si>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</si>
  <si>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</si>
  <si>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</si>
  <si>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</si>
  <si>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</si>
  <si>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</si>
  <si>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</si>
  <si>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</si>
  <si>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</si>
  <si>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</si>
  <si>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</si>
  <si>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</si>
  <si>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</si>
  <si>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</si>
  <si>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</si>
  <si>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</si>
  <si>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</si>
  <si>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</si>
  <si>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</si>
  <si>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</si>
  <si>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</si>
  <si>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</si>
  <si>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</si>
  <si>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</si>
  <si>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</si>
  <si>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</si>
  <si>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</si>
  <si>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</si>
  <si>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</si>
  <si>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</si>
  <si>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</si>
  <si>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</si>
  <si>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</si>
  <si>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</si>
  <si>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</si>
  <si>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</si>
  <si>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</si>
  <si>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</si>
  <si>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</si>
  <si>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</si>
  <si>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</si>
  <si>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</si>
  <si>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</si>
  <si>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</si>
  <si>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</si>
  <si>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</si>
  <si>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</si>
  <si>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</si>
  <si>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</si>
  <si>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</si>
  <si>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</si>
  <si>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</si>
  <si>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</si>
  <si>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</si>
  <si>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</si>
  <si>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</si>
  <si>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</si>
  <si>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</si>
  <si>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</si>
  <si>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</si>
  <si>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</si>
  <si>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</si>
  <si>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</si>
  <si>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</si>
  <si>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</si>
  <si>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</si>
  <si>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</si>
  <si>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</si>
  <si>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</si>
  <si>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</si>
  <si>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</si>
  <si>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</si>
  <si>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</si>
  <si>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</si>
  <si>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</si>
  <si>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</si>
  <si>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</si>
  <si>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</si>
  <si>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</si>
  <si>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</si>
  <si>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</si>
  <si>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</si>
  <si>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</si>
  <si>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</si>
  <si>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</si>
  <si>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</si>
  <si>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</si>
  <si>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</si>
  <si>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</si>
  <si>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</si>
  <si>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</si>
  <si>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</si>
  <si>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</si>
  <si>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</si>
  <si>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</si>
  <si>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</si>
  <si>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</si>
  <si>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</si>
  <si>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</si>
  <si>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</si>
  <si>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</si>
  <si>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</si>
  <si>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</si>
  <si>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</si>
  <si>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</si>
  <si>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</si>
  <si>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</si>
  <si>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</si>
  <si>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</si>
  <si>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</si>
  <si>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</si>
  <si>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</si>
  <si>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</si>
  <si>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</si>
  <si>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</si>
  <si>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</si>
  <si>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</si>
  <si>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</si>
  <si>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</si>
  <si>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</si>
  <si>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</si>
  <si>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</si>
  <si>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</si>
  <si>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</si>
  <si>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</si>
  <si>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</si>
  <si>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</si>
  <si>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</si>
  <si>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</si>
  <si>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</si>
  <si>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</si>
  <si>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</si>
  <si>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</si>
  <si>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</si>
  <si>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</si>
  <si>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</si>
  <si>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</si>
  <si>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</si>
  <si>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</si>
  <si>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</si>
  <si>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</si>
  <si>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</si>
  <si>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</si>
  <si>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</si>
  <si>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</si>
  <si>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</si>
  <si>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</si>
  <si>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</si>
  <si>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</si>
  <si>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</si>
  <si>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</si>
  <si>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</si>
  <si>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</si>
  <si>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</si>
  <si>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</si>
  <si>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</si>
  <si>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</si>
  <si>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</si>
  <si>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</si>
  <si>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</si>
  <si>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</si>
  <si>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</si>
  <si>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</si>
  <si>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</si>
  <si>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</si>
  <si>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</si>
  <si>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</si>
  <si>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</si>
  <si>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</si>
  <si>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</si>
  <si>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</si>
  <si>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</si>
  <si>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</si>
  <si>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</si>
  <si>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</si>
  <si>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</si>
  <si>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</si>
  <si>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</si>
  <si>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</si>
  <si>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</si>
  <si>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</si>
  <si>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</si>
  <si>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</si>
  <si>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</si>
  <si>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</si>
  <si>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</si>
  <si>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</si>
  <si>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</si>
  <si>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</si>
  <si>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</si>
  <si>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</si>
  <si>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</si>
  <si>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</si>
  <si>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</si>
  <si>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</si>
  <si>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</si>
  <si>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</si>
  <si>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</si>
  <si>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</si>
  <si>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</si>
  <si>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</si>
  <si>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</si>
  <si>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</si>
  <si>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</si>
  <si>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</si>
  <si>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</si>
  <si>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</si>
  <si>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</si>
  <si>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</si>
  <si>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</si>
  <si>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</si>
  <si>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</si>
  <si>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</si>
  <si>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</si>
  <si>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</si>
  <si>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</si>
  <si>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</si>
  <si>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</si>
  <si>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</si>
  <si>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</si>
  <si>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</si>
  <si>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</si>
  <si>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</si>
  <si>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</si>
  <si>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</si>
  <si>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</si>
  <si>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</si>
  <si>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</si>
  <si>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</si>
  <si>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</si>
  <si>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</si>
  <si>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</si>
  <si>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</si>
  <si>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</si>
  <si>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</si>
  <si>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</si>
  <si>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</si>
  <si>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</si>
  <si>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</si>
  <si>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</si>
  <si>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</si>
  <si>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</si>
  <si>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</si>
  <si>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</si>
  <si>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</si>
  <si>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</si>
  <si>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</si>
  <si>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</si>
  <si>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</si>
  <si>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</si>
  <si>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</si>
  <si>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</si>
  <si>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</si>
  <si>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</si>
  <si>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</si>
  <si>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</si>
  <si>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</si>
  <si>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</si>
  <si>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</si>
  <si>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</si>
  <si>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</si>
  <si>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</si>
  <si>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</si>
  <si>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</si>
  <si>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</si>
  <si>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</si>
  <si>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</si>
  <si>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</si>
  <si>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</si>
  <si>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</si>
  <si>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</si>
  <si>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</si>
  <si>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</si>
  <si>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</si>
  <si>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</si>
  <si>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</si>
  <si>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</si>
  <si>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</si>
  <si>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</si>
  <si>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</si>
  <si>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</si>
  <si>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</si>
  <si>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</si>
  <si>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</si>
  <si>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</si>
  <si>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</si>
  <si>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</si>
  <si>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</si>
  <si>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</si>
  <si>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</si>
  <si>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</si>
  <si>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</si>
  <si>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</si>
  <si>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</si>
  <si>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</si>
  <si>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</si>
  <si>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</si>
  <si>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</si>
  <si>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</si>
  <si>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</si>
  <si>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</si>
  <si>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</si>
  <si>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</si>
  <si>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</si>
  <si>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</si>
  <si>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</si>
  <si>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</si>
  <si>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</si>
  <si>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</si>
  <si>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</si>
  <si>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</si>
  <si>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</si>
  <si>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</si>
  <si>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</si>
  <si>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</si>
  <si>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</si>
  <si>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</si>
  <si>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</si>
  <si>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</si>
  <si>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</si>
  <si>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</si>
  <si>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</si>
  <si>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</si>
  <si>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</si>
  <si>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</si>
  <si>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</si>
  <si>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</si>
  <si>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</si>
  <si>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</si>
  <si>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</si>
  <si>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</si>
  <si>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</si>
  <si>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</si>
  <si>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</si>
  <si>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</si>
  <si>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</si>
  <si>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</si>
  <si>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</si>
  <si>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</si>
  <si>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</si>
  <si>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</si>
  <si>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</si>
  <si>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</si>
  <si>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</si>
  <si>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</si>
  <si>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</si>
  <si>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</si>
  <si>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</si>
  <si>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</si>
  <si>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</si>
  <si>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</si>
  <si>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</si>
  <si>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</si>
  <si>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</si>
  <si>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</si>
  <si>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</si>
  <si>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</si>
  <si>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</si>
  <si>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</si>
  <si>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</si>
  <si>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</si>
  <si>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</si>
  <si>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</si>
  <si>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</si>
  <si>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</si>
  <si>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</si>
  <si>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</si>
  <si>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</si>
  <si>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</si>
  <si>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</si>
  <si>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</si>
  <si>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</si>
  <si>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</si>
  <si>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</si>
  <si>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</si>
  <si>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</si>
  <si>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</si>
  <si>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</si>
  <si>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</si>
  <si>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</si>
  <si>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</si>
  <si>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</si>
  <si>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</si>
  <si>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</si>
  <si>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</si>
  <si>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</si>
  <si>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</si>
  <si>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</si>
  <si>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</si>
  <si>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</si>
  <si>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</si>
  <si>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</si>
  <si>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</si>
  <si>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</si>
  <si>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</si>
  <si>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</si>
  <si>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</si>
  <si>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</si>
  <si>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</si>
  <si>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</si>
  <si>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</si>
  <si>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</si>
  <si>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</si>
  <si>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</si>
  <si>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</si>
  <si>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</si>
  <si>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</si>
  <si>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</si>
  <si>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</si>
  <si>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</si>
  <si>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</si>
  <si>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</si>
  <si>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</si>
  <si>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</si>
  <si>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</si>
  <si>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</si>
  <si>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</si>
  <si>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</si>
  <si>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</si>
  <si>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</si>
  <si>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</si>
  <si>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</si>
  <si>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</si>
  <si>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</si>
  <si>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</si>
  <si>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</si>
  <si>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</si>
  <si>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</si>
  <si>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</si>
  <si>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</si>
  <si>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</si>
  <si>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</si>
  <si>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</si>
  <si>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</si>
  <si>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</si>
  <si>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</si>
  <si>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</si>
  <si>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</si>
  <si>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</si>
  <si>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</si>
  <si>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</si>
  <si>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</si>
  <si>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</si>
  <si>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</si>
  <si>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</si>
  <si>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</si>
  <si>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</si>
  <si>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</si>
  <si>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</si>
  <si>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</si>
  <si>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</si>
  <si>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</si>
  <si>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</si>
  <si>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</si>
  <si>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</si>
  <si>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</si>
  <si>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</si>
  <si>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</si>
  <si>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</si>
  <si>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</si>
  <si>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</si>
  <si>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</si>
  <si>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</si>
  <si>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</si>
  <si>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</si>
  <si>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</si>
  <si>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</si>
  <si>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</si>
  <si>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</si>
  <si>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</si>
  <si>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</si>
  <si>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</si>
  <si>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</si>
  <si>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</si>
  <si>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</si>
  <si>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</si>
  <si>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</si>
  <si>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</si>
  <si>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</si>
  <si>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</si>
  <si>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</si>
  <si>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</si>
  <si>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</si>
  <si>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</si>
  <si>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</si>
  <si>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</si>
  <si>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</si>
  <si>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</si>
  <si>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</si>
  <si>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</si>
  <si>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</si>
  <si>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</si>
  <si>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</si>
  <si>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</si>
  <si>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</si>
  <si>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</si>
  <si>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</si>
  <si>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</si>
  <si>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</si>
  <si>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</si>
  <si>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</si>
  <si>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</si>
  <si>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</si>
  <si>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</si>
  <si>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</si>
  <si>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</si>
  <si>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</si>
  <si>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</si>
  <si>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</si>
  <si>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</si>
  <si>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</si>
  <si>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</si>
  <si>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</si>
  <si>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</si>
  <si>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</si>
  <si>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</si>
  <si>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</si>
  <si>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</si>
  <si>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</si>
  <si>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</si>
  <si>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</si>
  <si>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</si>
  <si>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</si>
  <si>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</si>
  <si>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</si>
  <si>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</si>
  <si>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</si>
  <si>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</si>
  <si>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</si>
  <si>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</si>
  <si>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</si>
  <si>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</si>
  <si>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</si>
  <si>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</si>
  <si>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</si>
  <si>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</si>
  <si>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</si>
  <si>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</si>
  <si>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</si>
  <si>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</si>
  <si>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</si>
  <si>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</si>
  <si>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</si>
  <si>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</si>
  <si>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</si>
  <si>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</si>
  <si>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</si>
  <si>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</si>
  <si>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</si>
  <si>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</si>
  <si>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</si>
  <si>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</si>
  <si>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</si>
  <si>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</si>
  <si>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</si>
  <si>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</si>
  <si>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</si>
  <si>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</si>
  <si>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</si>
  <si>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</si>
  <si>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</si>
  <si>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</si>
  <si>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</si>
  <si>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</si>
  <si>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</si>
  <si>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</si>
  <si>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</si>
  <si>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</si>
  <si>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</si>
  <si>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</si>
  <si>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</si>
  <si>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</si>
  <si>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</si>
  <si>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</si>
  <si>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</si>
  <si>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</si>
  <si>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</si>
  <si>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</si>
  <si>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</si>
  <si>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</si>
  <si>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</si>
  <si>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</si>
  <si>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</si>
  <si>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</si>
  <si>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</si>
  <si>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</si>
  <si>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</si>
  <si>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</si>
  <si>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</si>
  <si>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</si>
  <si>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</si>
  <si>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</si>
  <si>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</si>
  <si>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</si>
  <si>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</si>
  <si>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</si>
  <si>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</si>
  <si>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</si>
  <si>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</si>
  <si>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</si>
  <si>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</si>
  <si>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</si>
  <si>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</si>
  <si>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</si>
  <si>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</si>
  <si>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</si>
  <si>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</si>
  <si>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</si>
  <si>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</si>
  <si>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</si>
  <si>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</si>
  <si>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</si>
  <si>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</si>
  <si>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</si>
  <si>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</si>
  <si>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</si>
  <si>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</si>
  <si>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</si>
  <si>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</si>
  <si>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</si>
  <si>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</si>
  <si>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</si>
  <si>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</si>
  <si>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</si>
  <si>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</si>
  <si>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</si>
  <si>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</si>
  <si>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</si>
  <si>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</si>
  <si>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</si>
  <si>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</si>
  <si>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</si>
  <si>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</si>
  <si>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</si>
  <si>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</si>
  <si>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</si>
  <si>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</si>
  <si>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</si>
  <si>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</si>
  <si>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</si>
  <si>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</si>
  <si>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</si>
  <si>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</si>
  <si>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</si>
  <si>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</si>
  <si>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</si>
  <si>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</si>
  <si>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</si>
  <si>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</si>
  <si>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</si>
  <si>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</si>
  <si>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</si>
  <si>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</si>
  <si>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</si>
  <si>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</si>
  <si>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</si>
  <si>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</si>
  <si>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</si>
  <si>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</si>
  <si>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</si>
  <si>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</si>
  <si>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</si>
  <si>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</si>
  <si>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</si>
  <si>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</si>
  <si>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</si>
  <si>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</si>
  <si>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</si>
  <si>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</si>
  <si>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</si>
  <si>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</si>
  <si>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</si>
  <si>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</si>
  <si>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</si>
  <si>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</si>
  <si>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</si>
  <si>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</si>
  <si>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</si>
  <si>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</si>
  <si>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</si>
  <si>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</si>
  <si>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</si>
  <si>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</si>
  <si>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</si>
  <si>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</si>
  <si>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</si>
  <si>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</si>
  <si>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</si>
  <si>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</si>
  <si>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</si>
  <si>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</si>
  <si>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</si>
  <si>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</si>
  <si>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</si>
  <si>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</si>
  <si>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</si>
  <si>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</si>
  <si>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</si>
  <si>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</si>
  <si>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</si>
  <si>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</si>
  <si>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</si>
  <si>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</si>
  <si>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</si>
  <si>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</si>
  <si>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</si>
  <si>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</si>
  <si>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</si>
  <si>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</si>
  <si>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</si>
  <si>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</si>
  <si>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</si>
  <si>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</si>
  <si>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</si>
  <si>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</si>
  <si>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</si>
  <si>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</si>
  <si>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</si>
  <si>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</si>
  <si>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</si>
  <si>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</si>
  <si>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</si>
  <si>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</si>
  <si>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</si>
  <si>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</si>
  <si>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</si>
  <si>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</si>
  <si>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</si>
  <si>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</si>
  <si>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</si>
  <si>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</si>
  <si>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</si>
  <si>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</si>
  <si>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</si>
  <si>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</si>
  <si>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</si>
  <si>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</si>
  <si>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</si>
  <si>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</si>
  <si>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</si>
  <si>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</si>
  <si>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</si>
  <si>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</si>
  <si>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</si>
  <si>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</si>
  <si>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</si>
  <si>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</si>
  <si>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</si>
  <si>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</si>
  <si>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</si>
  <si>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</si>
  <si>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</si>
  <si>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</si>
  <si>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</si>
  <si>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</si>
  <si>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</si>
  <si>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</si>
  <si>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</si>
  <si>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</si>
  <si>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</si>
  <si>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</si>
  <si>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</si>
  <si>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</si>
  <si>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</si>
  <si>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</si>
  <si>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</si>
  <si>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</si>
  <si>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</si>
  <si>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</si>
  <si>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</si>
  <si>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</si>
  <si>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</si>
  <si>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</si>
  <si>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</si>
  <si>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</si>
  <si>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</si>
  <si>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</si>
  <si>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</si>
  <si>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</si>
  <si>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</si>
  <si>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</si>
  <si>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</si>
  <si>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</si>
  <si>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</si>
  <si>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</si>
  <si>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</si>
  <si>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</si>
  <si>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</si>
  <si>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</si>
  <si>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</si>
  <si>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</si>
  <si>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</si>
  <si>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</si>
  <si>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</si>
  <si>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</si>
  <si>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</si>
  <si>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</si>
  <si>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</si>
  <si>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</si>
  <si>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</si>
  <si>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</si>
  <si>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</si>
  <si>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</si>
  <si>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</si>
  <si>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</si>
  <si>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</si>
  <si>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</si>
  <si>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</si>
  <si>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</si>
  <si>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</si>
  <si>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</si>
  <si>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</si>
  <si>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</si>
  <si>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</si>
  <si>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</si>
  <si>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</si>
  <si>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</si>
  <si>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</si>
  <si>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</si>
  <si>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</si>
  <si>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</si>
  <si>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</si>
  <si>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</si>
  <si>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</si>
  <si>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</si>
  <si>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</si>
  <si>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</si>
  <si>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</si>
  <si>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</si>
  <si>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</si>
  <si>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</si>
  <si>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</si>
  <si>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</si>
  <si>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</si>
  <si>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</si>
  <si>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</si>
  <si>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</si>
  <si>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</si>
  <si>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</si>
  <si>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</si>
  <si>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</si>
  <si>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</si>
  <si>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</si>
  <si>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</si>
  <si>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</si>
  <si>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</si>
  <si>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</si>
  <si>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</si>
  <si>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</si>
  <si>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</si>
  <si>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</si>
  <si>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</si>
  <si>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</si>
  <si>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</si>
  <si>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</si>
  <si>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</si>
  <si>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</si>
  <si>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</si>
  <si>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</si>
  <si>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</si>
  <si>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</si>
  <si>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</si>
  <si>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</si>
  <si>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</si>
  <si>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</si>
  <si>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</si>
  <si>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</si>
  <si>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</si>
  <si>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</si>
  <si>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</si>
  <si>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</si>
  <si>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</si>
  <si>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</si>
  <si>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</si>
  <si>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</si>
  <si>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</si>
  <si>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</si>
  <si>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</si>
  <si>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</si>
  <si>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</si>
  <si>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</si>
  <si>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</si>
  <si>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</si>
  <si>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</si>
  <si>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</si>
  <si>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</si>
  <si>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</si>
  <si>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</si>
  <si>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</si>
  <si>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</si>
  <si>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</si>
  <si>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</si>
  <si>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</si>
  <si>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</si>
  <si>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</si>
  <si>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</si>
  <si>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</si>
  <si>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</si>
  <si>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</si>
  <si>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</si>
  <si>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</si>
  <si>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</si>
  <si>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</si>
  <si>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</si>
  <si>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</si>
  <si>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</si>
  <si>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</si>
  <si>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</si>
  <si>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</si>
  <si>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</si>
  <si>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</si>
  <si>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</si>
  <si>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</si>
  <si>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</si>
  <si>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</si>
  <si>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</si>
  <si>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</si>
  <si>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</si>
  <si>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</si>
  <si>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</si>
  <si>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</si>
  <si>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</si>
  <si>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</si>
  <si>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</si>
  <si>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</si>
  <si>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</si>
  <si>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</si>
  <si>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</si>
  <si>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</si>
  <si>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</si>
  <si>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</si>
  <si>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</si>
  <si>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</si>
  <si>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</si>
  <si>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</si>
  <si>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</si>
  <si>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</si>
  <si>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</si>
  <si>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</si>
  <si>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</si>
  <si>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</si>
  <si>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</si>
  <si>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</si>
  <si>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</si>
  <si>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</si>
  <si>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</si>
  <si>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</si>
  <si>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</si>
  <si>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</si>
  <si>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</si>
  <si>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</si>
  <si>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</si>
  <si>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</si>
  <si>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</si>
  <si>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</si>
  <si>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</si>
  <si>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</si>
  <si>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</si>
  <si>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</si>
  <si>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</si>
  <si>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</si>
  <si>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</si>
  <si>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</si>
  <si>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</si>
  <si>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</si>
  <si>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</si>
  <si>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</si>
  <si>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</si>
  <si>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</si>
  <si>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</si>
  <si>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</si>
  <si>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</si>
  <si>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</si>
  <si>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</si>
  <si>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</si>
  <si>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</si>
  <si>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</si>
  <si>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</si>
  <si>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</si>
  <si>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</si>
  <si>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</si>
  <si>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</si>
  <si>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</si>
  <si>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</si>
  <si>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</si>
  <si>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</si>
  <si>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</si>
  <si>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</si>
  <si>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</si>
  <si>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</si>
  <si>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</si>
  <si>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</si>
  <si>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</si>
  <si>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</si>
  <si>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</si>
  <si>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</si>
  <si>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</si>
  <si>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</si>
  <si>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</si>
  <si>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</si>
  <si>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</si>
  <si>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</si>
  <si>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</si>
  <si>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</si>
  <si>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</si>
  <si>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</si>
  <si>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</si>
  <si>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</si>
  <si>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</si>
  <si>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</si>
  <si>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</si>
  <si>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</si>
  <si>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</si>
  <si>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</si>
  <si>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</si>
  <si>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</si>
  <si>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</si>
  <si>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</si>
  <si>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</si>
  <si>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</si>
  <si>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</si>
  <si>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</si>
  <si>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</si>
  <si>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</si>
  <si>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</si>
  <si>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</si>
  <si>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</si>
  <si>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</si>
  <si>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</si>
  <si>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</si>
  <si>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</si>
  <si>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</si>
  <si>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</si>
  <si>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</si>
  <si>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</si>
  <si>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</si>
  <si>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</si>
  <si>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</si>
  <si>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</si>
  <si>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</si>
  <si>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</si>
  <si>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</si>
  <si>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</si>
  <si>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</si>
  <si>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</si>
  <si>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</si>
  <si>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</si>
  <si>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</si>
  <si>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</si>
  <si>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</si>
  <si>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</si>
  <si>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</si>
  <si>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</si>
  <si>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</si>
  <si>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</si>
  <si>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</si>
  <si>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</si>
  <si>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</si>
  <si>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</si>
  <si>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</si>
  <si>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</si>
  <si>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</si>
  <si>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</si>
  <si>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</si>
  <si>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</si>
  <si>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</si>
  <si>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</si>
  <si>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</si>
  <si>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</si>
  <si>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</si>
  <si>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</si>
  <si>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</si>
  <si>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</si>
  <si>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</si>
  <si>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</si>
  <si>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</si>
  <si>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</si>
  <si>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</si>
  <si>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</si>
  <si>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</si>
  <si>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</si>
  <si>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</si>
  <si>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</si>
  <si>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</si>
  <si>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</si>
  <si>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</si>
  <si>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</si>
  <si>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</si>
  <si>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</si>
  <si>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</si>
  <si>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</si>
  <si>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</si>
  <si>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</si>
  <si>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</si>
  <si>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</si>
  <si>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</si>
  <si>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</si>
  <si>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</si>
  <si>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</si>
  <si>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</si>
  <si>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</si>
  <si>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</si>
  <si>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</si>
  <si>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</si>
  <si>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</si>
  <si>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</si>
  <si>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</si>
  <si>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</si>
  <si>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</si>
  <si>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</si>
  <si>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</si>
  <si>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</si>
  <si>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</si>
  <si>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</si>
  <si>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</si>
  <si>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</si>
  <si>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</si>
  <si>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</si>
  <si>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</si>
  <si>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</si>
  <si>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</si>
  <si>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</si>
  <si>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</si>
  <si>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</si>
  <si>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</si>
  <si>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</si>
  <si>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</si>
  <si>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</si>
  <si>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</si>
  <si>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</si>
  <si>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</si>
  <si>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</si>
  <si>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</si>
  <si>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</si>
  <si>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</si>
  <si>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</si>
  <si>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</si>
  <si>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</si>
  <si>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</si>
  <si>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</si>
  <si>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</si>
  <si>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</si>
  <si>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</si>
  <si>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</si>
  <si>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</si>
  <si>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</si>
  <si>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</si>
  <si>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</si>
  <si>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</si>
  <si>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</si>
  <si>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</si>
  <si>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</si>
  <si>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</si>
  <si>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</si>
  <si>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</si>
  <si>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</si>
  <si>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</si>
  <si>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</si>
  <si>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</si>
  <si>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</si>
  <si>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</si>
  <si>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</si>
  <si>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</si>
  <si>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</si>
  <si>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</si>
  <si>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</si>
  <si>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</si>
  <si>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</si>
  <si>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</si>
  <si>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</si>
  <si>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</si>
  <si>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</si>
  <si>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</si>
  <si>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</si>
  <si>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</si>
  <si>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</si>
  <si>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</si>
  <si>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</si>
  <si>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</si>
  <si>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</si>
  <si>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</si>
  <si>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</si>
  <si>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</si>
  <si>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</si>
  <si>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</si>
  <si>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</si>
  <si>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</si>
  <si>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</si>
  <si>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</si>
  <si>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</si>
  <si>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</si>
  <si>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</si>
  <si>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</si>
  <si>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</si>
  <si>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</si>
  <si>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</si>
  <si>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</si>
  <si>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</si>
  <si>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</si>
  <si>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</si>
  <si>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</si>
  <si>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</si>
  <si>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</si>
  <si>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</si>
  <si>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</si>
  <si>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</si>
  <si>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</si>
  <si>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</si>
  <si>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</si>
  <si>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</si>
  <si>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</si>
  <si>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</si>
  <si>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</si>
  <si>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</si>
  <si>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</si>
  <si>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</si>
  <si>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</si>
  <si>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</si>
  <si>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</si>
  <si>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</si>
  <si>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</si>
  <si>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</si>
  <si>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</si>
  <si>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</si>
  <si>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</si>
  <si>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</si>
  <si>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</si>
  <si>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</si>
  <si>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</si>
  <si>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</si>
  <si>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</si>
  <si>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</si>
  <si>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</si>
  <si>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</si>
  <si>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</si>
  <si>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</si>
  <si>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</si>
  <si>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</si>
  <si>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</si>
  <si>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</si>
  <si>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</si>
  <si>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</si>
  <si>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</si>
  <si>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</si>
  <si>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</si>
  <si>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</si>
  <si>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</si>
  <si>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</si>
  <si>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</si>
  <si>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</si>
  <si>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</si>
  <si>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</si>
  <si>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</si>
  <si>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</si>
  <si>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</si>
  <si>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</si>
  <si>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</si>
  <si>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</si>
  <si>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</si>
  <si>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</si>
  <si>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</si>
  <si>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</si>
  <si>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</si>
  <si>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</si>
  <si>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</si>
  <si>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</si>
  <si>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</si>
  <si>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</si>
  <si>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</si>
  <si>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</si>
  <si>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</si>
  <si>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</si>
  <si>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</si>
  <si>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</si>
  <si>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</si>
  <si>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</si>
  <si>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</si>
  <si>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</si>
  <si>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</si>
  <si>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</si>
  <si>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</si>
  <si>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</si>
  <si>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</si>
  <si>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</si>
  <si>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</si>
  <si>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</si>
  <si>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</si>
  <si>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</si>
  <si>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</si>
  <si>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</si>
  <si>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</si>
  <si>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</si>
  <si>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</si>
  <si>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</si>
  <si>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</si>
  <si>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</si>
  <si>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</si>
  <si>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</si>
  <si>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</si>
  <si>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</si>
  <si>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</si>
  <si>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</si>
  <si>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</si>
  <si>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</si>
  <si>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</si>
  <si>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</si>
  <si>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</si>
  <si>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</si>
  <si>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</si>
  <si>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</si>
  <si>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</si>
  <si>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</si>
  <si>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</si>
  <si>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</si>
  <si>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</si>
  <si>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</si>
  <si>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</si>
  <si>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</si>
  <si>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</si>
  <si>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</si>
  <si>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</si>
  <si>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</si>
  <si>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</si>
  <si>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</si>
  <si>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</si>
  <si>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</si>
  <si>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</si>
  <si>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</si>
  <si>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</si>
  <si>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</si>
  <si>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</si>
  <si>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</si>
  <si>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</si>
  <si>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</si>
  <si>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</si>
  <si>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</si>
  <si>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</si>
  <si>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</si>
  <si>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</si>
  <si>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</si>
  <si>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</si>
  <si>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</si>
  <si>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</si>
  <si>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</si>
  <si>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</si>
  <si>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</si>
  <si>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</si>
  <si>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</si>
  <si>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</si>
  <si>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</si>
  <si>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</si>
  <si>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</si>
  <si>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</si>
  <si>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</si>
  <si>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</si>
  <si>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</si>
  <si>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</si>
  <si>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</si>
  <si>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</si>
  <si>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</si>
  <si>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</si>
  <si>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</si>
  <si>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</si>
  <si>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</si>
  <si>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</si>
  <si>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</si>
  <si>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</si>
  <si>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</si>
  <si>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</si>
  <si>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</si>
  <si>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</si>
  <si>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</si>
  <si>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</si>
  <si>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</si>
  <si>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</si>
  <si>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</si>
  <si>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</si>
  <si>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</si>
  <si>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</si>
  <si>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</si>
  <si>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</si>
  <si>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</si>
  <si>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</si>
  <si>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</si>
  <si>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</si>
  <si>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</si>
  <si>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</si>
  <si>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</si>
  <si>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</si>
  <si>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</si>
  <si>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</si>
  <si>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</si>
  <si>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</si>
  <si>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</si>
  <si>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</si>
  <si>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</si>
  <si>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</si>
  <si>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</si>
  <si>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</si>
  <si>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</si>
  <si>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</si>
  <si>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</si>
  <si>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</si>
  <si>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</si>
  <si>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</si>
  <si>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</si>
  <si>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</si>
  <si>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</si>
  <si>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</si>
  <si>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</si>
  <si>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</si>
  <si>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</si>
  <si>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</si>
  <si>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</si>
  <si>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</si>
  <si>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</si>
  <si>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</si>
  <si>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</si>
  <si>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</si>
  <si>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</si>
  <si>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</si>
  <si>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</si>
  <si>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</si>
  <si>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</si>
  <si>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</si>
  <si>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</si>
  <si>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</si>
  <si>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</si>
  <si>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</si>
  <si>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</si>
  <si>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</si>
  <si>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</si>
  <si>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</si>
  <si>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</si>
  <si>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</si>
  <si>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</si>
  <si>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</si>
  <si>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</si>
  <si>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</si>
  <si>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</si>
  <si>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</si>
  <si>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</si>
  <si>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</si>
  <si>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</si>
  <si>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</si>
  <si>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</si>
  <si>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</si>
  <si>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</si>
  <si>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</si>
  <si>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</si>
  <si>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</si>
  <si>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</si>
  <si>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</si>
  <si>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</si>
  <si>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</si>
  <si>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</si>
  <si>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</si>
  <si>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</si>
  <si>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</si>
  <si>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</si>
  <si>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</si>
  <si>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</si>
  <si>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</si>
  <si>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</si>
  <si>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</si>
  <si>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</si>
  <si>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</si>
  <si>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</si>
  <si>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</si>
  <si>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</si>
  <si>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</si>
  <si>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</si>
  <si>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</si>
  <si>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</si>
  <si>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</si>
  <si>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</si>
  <si>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</si>
  <si>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</si>
  <si>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</si>
  <si>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</si>
  <si>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</si>
  <si>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</si>
  <si>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</si>
  <si>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</si>
  <si>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</si>
  <si>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</si>
  <si>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</si>
  <si>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</si>
  <si>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</si>
  <si>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</si>
  <si>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</si>
  <si>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</si>
  <si>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</si>
  <si>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</si>
  <si>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</si>
  <si>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</si>
  <si>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</si>
  <si>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</si>
  <si>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</si>
  <si>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</si>
  <si>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</si>
  <si>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</si>
  <si>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</si>
  <si>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</si>
  <si>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</si>
  <si>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</si>
  <si>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</si>
  <si>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</si>
  <si>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</si>
  <si>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</si>
  <si>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</si>
  <si>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</si>
  <si>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</si>
  <si>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</si>
  <si>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</si>
  <si>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</si>
  <si>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</si>
  <si>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</si>
  <si>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</si>
  <si>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</si>
  <si>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</si>
  <si>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</si>
  <si>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</si>
  <si>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</si>
  <si>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</si>
  <si>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</si>
  <si>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</si>
  <si>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</si>
  <si>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</si>
  <si>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</si>
  <si>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</si>
  <si>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</si>
  <si>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</si>
  <si>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</si>
  <si>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</si>
  <si>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</si>
  <si>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</si>
  <si>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</si>
  <si>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</si>
  <si>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</si>
  <si>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</si>
  <si>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</si>
  <si>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</si>
  <si>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</si>
  <si>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</si>
  <si>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</si>
  <si>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</si>
  <si>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</si>
  <si>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</si>
  <si>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</si>
  <si>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</si>
  <si>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</si>
  <si>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</si>
  <si>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</si>
  <si>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</si>
  <si>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</si>
  <si>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</si>
  <si>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</si>
  <si>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</si>
  <si>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</si>
  <si>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</si>
  <si>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</si>
  <si>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</si>
  <si>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</si>
  <si>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</si>
  <si>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</si>
  <si>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</si>
  <si>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</si>
  <si>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</si>
  <si>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</si>
  <si>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</si>
  <si>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</si>
  <si>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</si>
  <si>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</si>
  <si>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</si>
  <si>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</si>
  <si>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</si>
  <si>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</si>
  <si>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</si>
  <si>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</si>
  <si>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</si>
  <si>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</si>
  <si>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</si>
  <si>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</si>
  <si>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</si>
  <si>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</si>
  <si>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</si>
  <si>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</si>
  <si>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</si>
  <si>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</si>
  <si>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</si>
  <si>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</si>
  <si>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</si>
  <si>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</si>
  <si>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</si>
  <si>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</si>
  <si>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</si>
  <si>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</si>
  <si>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</si>
  <si>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</si>
  <si>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</si>
  <si>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</si>
  <si>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</si>
  <si>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</si>
  <si>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</si>
  <si>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</si>
  <si>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</si>
  <si>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</si>
  <si>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</si>
  <si>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</si>
  <si>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</si>
  <si>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</si>
  <si>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</si>
  <si>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</si>
  <si>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</si>
  <si>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</si>
  <si>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</si>
  <si>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</si>
  <si>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</si>
  <si>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</si>
  <si>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</si>
  <si>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</si>
  <si>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</si>
  <si>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</si>
  <si>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</si>
  <si>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</si>
  <si>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</si>
  <si>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</si>
  <si>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</si>
  <si>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</si>
  <si>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</si>
  <si>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</si>
  <si>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</si>
  <si>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</si>
  <si>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</si>
  <si>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</si>
  <si>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</si>
  <si>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</si>
  <si>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</si>
  <si>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</si>
  <si>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</si>
  <si>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</si>
  <si>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</si>
  <si>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</si>
  <si>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</si>
  <si>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</si>
  <si>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</si>
  <si>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</si>
  <si>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</si>
  <si>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</si>
  <si>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</si>
  <si>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</si>
  <si>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</si>
  <si>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</si>
  <si>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</si>
  <si>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</si>
  <si>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</si>
  <si>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</si>
  <si>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</si>
  <si>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</si>
  <si>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</si>
  <si>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</si>
  <si>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</si>
  <si>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</si>
  <si>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</si>
  <si>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</si>
  <si>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</si>
  <si>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</si>
  <si>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</si>
  <si>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</si>
  <si>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</si>
  <si>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</si>
  <si>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</si>
  <si>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</si>
  <si>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</si>
  <si>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</si>
  <si>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</si>
  <si>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</si>
  <si>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</si>
  <si>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</si>
  <si>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</si>
  <si>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</si>
  <si>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</si>
  <si>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</si>
  <si>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</si>
  <si>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</si>
  <si>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</si>
  <si>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</si>
  <si>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</si>
  <si>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</si>
  <si>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</si>
  <si>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</si>
  <si>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</si>
  <si>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</si>
  <si>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</si>
  <si>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</si>
  <si>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</si>
  <si>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</si>
  <si>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</si>
  <si>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</si>
  <si>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</si>
  <si>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</si>
  <si>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</si>
  <si>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</si>
  <si>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</si>
  <si>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</si>
  <si>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</si>
  <si>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</si>
  <si>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</si>
  <si>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</si>
  <si>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</si>
  <si>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</si>
  <si>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</si>
  <si>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</si>
  <si>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</si>
  <si>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</si>
  <si>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</si>
  <si>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</si>
  <si>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</si>
  <si>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</si>
  <si>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</si>
  <si>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</si>
  <si>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</si>
  <si>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</si>
  <si>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</si>
  <si>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</si>
  <si>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</si>
  <si>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</si>
  <si>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</si>
  <si>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</si>
  <si>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</si>
  <si>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</si>
  <si>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</si>
  <si>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</si>
  <si>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</si>
  <si>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</si>
  <si>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</si>
  <si>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</si>
  <si>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</si>
  <si>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</si>
  <si>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</si>
  <si>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</si>
  <si>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</si>
  <si>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</si>
  <si>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</si>
  <si>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</si>
  <si>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</si>
  <si>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</si>
  <si>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</si>
  <si>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</si>
  <si>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</si>
  <si>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</si>
  <si>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</si>
  <si>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</si>
  <si>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</si>
  <si>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</si>
  <si>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</si>
  <si>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</si>
  <si>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</si>
  <si>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</si>
  <si>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</si>
  <si>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</si>
  <si>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</si>
  <si>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</si>
  <si>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</si>
  <si>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</si>
  <si>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</si>
  <si>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</si>
  <si>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</si>
  <si>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</si>
  <si>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</si>
  <si>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</si>
  <si>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</si>
  <si>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</si>
  <si>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</si>
  <si>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</si>
  <si>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</si>
  <si>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</si>
  <si>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</si>
  <si>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</si>
  <si>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</si>
  <si>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</si>
  <si>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</si>
  <si>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</si>
  <si>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</si>
  <si>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</si>
  <si>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</si>
  <si>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</si>
  <si>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</si>
  <si>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</si>
  <si>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</si>
  <si>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</si>
  <si>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</si>
  <si>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</si>
  <si>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</si>
  <si>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</si>
  <si>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</si>
  <si>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</si>
  <si>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</si>
  <si>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</si>
  <si>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</si>
  <si>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</si>
  <si>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</si>
  <si>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</si>
  <si>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</si>
  <si>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</si>
  <si>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</si>
  <si>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</si>
  <si>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</si>
  <si>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</si>
  <si>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</si>
  <si>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</si>
  <si>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</si>
  <si>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</si>
  <si>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</si>
  <si>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</si>
  <si>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</si>
  <si>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</si>
  <si>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</si>
  <si>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</si>
  <si>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</si>
  <si>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</si>
  <si>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</si>
  <si>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</si>
  <si>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</si>
  <si>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</si>
  <si>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</si>
  <si>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</si>
  <si>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</si>
  <si>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</si>
  <si>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</si>
  <si>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</si>
  <si>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</si>
  <si>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</si>
  <si>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</si>
  <si>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</si>
  <si>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</si>
  <si>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</si>
  <si>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</si>
  <si>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</si>
  <si>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</si>
  <si>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</si>
  <si>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</si>
  <si>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</si>
  <si>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</si>
  <si>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</si>
  <si>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</si>
  <si>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</si>
  <si>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</si>
  <si>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</si>
  <si>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</si>
  <si>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</si>
  <si>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</si>
  <si>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</si>
  <si>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</si>
  <si>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</si>
  <si>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</si>
  <si>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</si>
  <si>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</si>
  <si>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</si>
  <si>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</si>
  <si>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</si>
  <si>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</si>
  <si>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</si>
  <si>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</si>
  <si>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</si>
  <si>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</si>
  <si>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</si>
  <si>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</si>
  <si>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</si>
  <si>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</si>
  <si>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</si>
  <si>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</si>
  <si>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</si>
  <si>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</si>
  <si>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</si>
  <si>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</si>
  <si>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</si>
  <si>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</si>
  <si>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</si>
  <si>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</si>
  <si>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</si>
  <si>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</si>
  <si>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</si>
  <si>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</si>
  <si>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</si>
  <si>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</si>
  <si>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</si>
  <si>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</si>
  <si>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</si>
  <si>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</si>
  <si>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</si>
  <si>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</si>
  <si>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</si>
  <si>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</si>
  <si>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</si>
  <si>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</si>
  <si>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</si>
  <si>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</si>
  <si>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</si>
  <si>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</si>
  <si>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</si>
  <si>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</si>
  <si>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</si>
  <si>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</si>
  <si>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</si>
  <si>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</si>
  <si>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</si>
  <si>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</si>
  <si>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</si>
  <si>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</si>
  <si>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</si>
  <si>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</si>
  <si>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</si>
  <si>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</si>
  <si>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</si>
  <si>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</si>
  <si>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</si>
  <si>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</si>
  <si>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</si>
  <si>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</si>
  <si>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</si>
  <si>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</si>
  <si>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</si>
  <si>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</si>
  <si>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</si>
  <si>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</si>
  <si>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</si>
  <si>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</si>
  <si>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</si>
  <si>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</si>
  <si>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</si>
  <si>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</si>
  <si>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</si>
  <si>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</si>
  <si>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</si>
  <si>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</si>
  <si>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</si>
  <si>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</si>
  <si>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</si>
  <si>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</si>
  <si>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</si>
  <si>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</si>
  <si>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</si>
  <si>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</si>
  <si>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</si>
  <si>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</si>
  <si>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</si>
  <si>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</si>
  <si>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</si>
  <si>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</si>
  <si>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</si>
  <si>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</si>
  <si>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</si>
  <si>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</si>
  <si>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</si>
  <si>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</si>
  <si>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</si>
  <si>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</si>
  <si>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</si>
  <si>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</si>
  <si>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</si>
  <si>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</si>
  <si>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</si>
  <si>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</si>
  <si>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</si>
  <si>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</si>
  <si>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</si>
  <si>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</si>
  <si>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</si>
  <si>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</si>
  <si>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</si>
  <si>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</si>
  <si>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</si>
  <si>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</si>
  <si>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</si>
  <si>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</si>
  <si>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</si>
  <si>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</si>
  <si>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</si>
  <si>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</si>
  <si>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</si>
  <si>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</si>
  <si>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</si>
  <si>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</si>
  <si>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</si>
  <si>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</si>
  <si>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</si>
  <si>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</si>
  <si>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</si>
  <si>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</si>
  <si>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</si>
  <si>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</si>
  <si>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</si>
  <si>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</si>
  <si>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</si>
  <si>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</si>
  <si>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</si>
  <si>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</si>
  <si>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</si>
  <si>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</si>
  <si>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</si>
  <si>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</si>
  <si>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</si>
  <si>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</si>
  <si>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</si>
  <si>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</si>
  <si>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</si>
  <si>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</si>
  <si>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</si>
  <si>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</si>
  <si>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</si>
  <si>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</si>
  <si>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</si>
  <si>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</si>
  <si>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</si>
  <si>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</si>
  <si>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</si>
  <si>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</si>
  <si>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</si>
  <si>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</si>
  <si>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</si>
  <si>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</si>
  <si>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</si>
  <si>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</si>
  <si>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</si>
  <si>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</si>
  <si>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</si>
  <si>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</si>
  <si>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</si>
  <si>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</si>
  <si>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</si>
  <si>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</si>
  <si>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</si>
  <si>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</si>
  <si>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</si>
  <si>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</si>
  <si>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</si>
  <si>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</si>
  <si>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</si>
  <si>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</si>
  <si>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</si>
  <si>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</si>
  <si>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</si>
  <si>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</si>
  <si>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</si>
  <si>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</si>
  <si>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</si>
  <si>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</si>
  <si>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</si>
  <si>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</si>
  <si>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</si>
  <si>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</si>
  <si>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</si>
  <si>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</si>
  <si>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</si>
  <si>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</si>
  <si>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</si>
  <si>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</si>
  <si>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</si>
  <si>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</si>
  <si>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</si>
  <si>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</si>
  <si>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</si>
  <si>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</si>
  <si>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</si>
  <si>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</si>
  <si>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</si>
  <si>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</si>
  <si>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</si>
  <si>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</si>
  <si>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</si>
  <si>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</si>
  <si>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</si>
  <si>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</si>
  <si>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</si>
  <si>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</si>
  <si>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</si>
  <si>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</si>
  <si>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</si>
  <si>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</si>
  <si>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</si>
  <si>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</si>
  <si>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</si>
  <si>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</si>
  <si>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</si>
  <si>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</si>
  <si>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</si>
  <si>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</si>
  <si>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</si>
  <si>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</si>
  <si>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</si>
  <si>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</si>
  <si>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</si>
  <si>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</si>
  <si>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</si>
  <si>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</si>
  <si>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</si>
  <si>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</si>
  <si>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</si>
  <si>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</si>
  <si>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</si>
  <si>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</si>
  <si>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</si>
  <si>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</si>
  <si>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</si>
  <si>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</si>
  <si>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</si>
  <si>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</si>
  <si>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</si>
  <si>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</si>
  <si>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</si>
  <si>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</si>
  <si>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</si>
  <si>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</si>
  <si>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</si>
  <si>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</si>
  <si>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</si>
  <si>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</si>
  <si>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</si>
  <si>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</si>
  <si>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</si>
  <si>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</si>
  <si>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</si>
  <si>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</si>
  <si>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</si>
  <si>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</si>
  <si>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</si>
  <si>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</si>
  <si>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</si>
  <si>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</si>
  <si>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</si>
  <si>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</si>
  <si>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</si>
  <si>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</si>
  <si>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</si>
  <si>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</si>
  <si>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</si>
  <si>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</si>
  <si>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</si>
  <si>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</si>
  <si>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</si>
  <si>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</si>
  <si>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</si>
  <si>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</si>
  <si>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</si>
  <si>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</si>
  <si>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</si>
  <si>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</si>
  <si>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</si>
  <si>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</si>
  <si>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</si>
  <si>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</si>
  <si>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</si>
  <si>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</si>
  <si>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</si>
  <si>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</si>
  <si>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</si>
  <si>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</si>
  <si>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</si>
  <si>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</si>
  <si>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</si>
  <si>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</si>
  <si>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</si>
  <si>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</si>
  <si>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</si>
  <si>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</si>
  <si>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</si>
  <si>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</si>
  <si>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</si>
  <si>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</si>
  <si>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</si>
  <si>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</si>
  <si>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</si>
  <si>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</si>
  <si>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</si>
  <si>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</si>
  <si>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</si>
  <si>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</si>
  <si>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</si>
  <si>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</si>
  <si>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</si>
  <si>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</si>
  <si>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</si>
  <si>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</si>
  <si>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</si>
  <si>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</si>
  <si>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</si>
  <si>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</si>
  <si>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</si>
  <si>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</si>
  <si>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</si>
  <si>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</si>
  <si>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</si>
  <si>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</si>
  <si>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</si>
  <si>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</si>
  <si>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</si>
  <si>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</si>
  <si>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</si>
  <si>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</si>
  <si>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</si>
  <si>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</si>
  <si>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</si>
  <si>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</si>
  <si>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</si>
  <si>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</si>
  <si>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</si>
  <si>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</si>
  <si>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</si>
  <si>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</si>
  <si>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</si>
  <si>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</si>
  <si>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</si>
  <si>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</si>
  <si>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</si>
  <si>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</si>
  <si>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</si>
  <si>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</si>
  <si>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</si>
  <si>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</si>
  <si>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</si>
  <si>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</si>
  <si>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</si>
  <si>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</si>
  <si>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</si>
  <si>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</si>
  <si>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</si>
  <si>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</si>
  <si>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</si>
  <si>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</si>
  <si>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</si>
  <si>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</si>
  <si>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</si>
  <si>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</si>
  <si>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</si>
  <si>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</si>
  <si>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</si>
  <si>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</si>
  <si>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</si>
  <si>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</si>
  <si>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</si>
  <si>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</si>
  <si>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</si>
  <si>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</si>
  <si>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</si>
  <si>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</si>
  <si>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</si>
  <si>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</si>
  <si>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</si>
  <si>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</si>
  <si>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</si>
  <si>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</si>
  <si>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</si>
  <si>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</si>
  <si>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</si>
  <si>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</si>
  <si>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</si>
  <si>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</si>
  <si>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</si>
  <si>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</si>
  <si>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</si>
  <si>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</si>
  <si>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</si>
  <si>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</si>
  <si>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</si>
  <si>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</si>
  <si>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</si>
  <si>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</si>
  <si>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</si>
  <si>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</si>
  <si>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</si>
  <si>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</si>
  <si>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</si>
  <si>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</si>
  <si>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</si>
  <si>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</si>
  <si>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</si>
  <si>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</si>
  <si>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</si>
  <si>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</si>
  <si>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</si>
  <si>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</si>
  <si>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</si>
  <si>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</si>
  <si>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</si>
  <si>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</si>
  <si>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</si>
  <si>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</si>
  <si>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</si>
  <si>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</si>
  <si>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</si>
  <si>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</si>
  <si>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</si>
  <si>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</si>
  <si>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</si>
  <si>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</si>
  <si>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</si>
  <si>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</si>
  <si>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</si>
  <si>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</si>
  <si>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</si>
  <si>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</si>
  <si>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</si>
  <si>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</si>
  <si>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</si>
  <si>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</si>
  <si>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</si>
  <si>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</si>
  <si>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</si>
  <si>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</si>
  <si>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</si>
  <si>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</si>
  <si>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</si>
  <si>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</si>
  <si>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</si>
  <si>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</si>
  <si>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</si>
  <si>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</si>
  <si>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</si>
  <si>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</si>
  <si>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</si>
  <si>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</si>
  <si>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</si>
  <si>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</si>
  <si>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</si>
  <si>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</si>
  <si>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</si>
  <si>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</si>
  <si>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</si>
  <si>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</si>
  <si>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</si>
  <si>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</si>
  <si>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</si>
  <si>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</si>
  <si>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</si>
  <si>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</si>
  <si>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</si>
  <si>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</si>
  <si>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</si>
  <si>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</si>
  <si>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</si>
  <si>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</si>
  <si>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</si>
  <si>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</si>
  <si>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</si>
  <si>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</si>
  <si>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</si>
  <si>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</si>
  <si>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</si>
  <si>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</si>
  <si>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</si>
  <si>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</si>
  <si>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</si>
  <si>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</si>
  <si>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</si>
  <si>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</si>
  <si>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</si>
  <si>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</si>
  <si>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</si>
  <si>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</si>
  <si>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</si>
  <si>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</si>
  <si>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</si>
  <si>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</si>
  <si>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</si>
  <si>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</si>
  <si>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</si>
  <si>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</si>
  <si>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</si>
  <si>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</si>
  <si>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</si>
  <si>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</si>
  <si>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</si>
  <si>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</si>
  <si>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</si>
  <si>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</si>
  <si>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</si>
  <si>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</si>
  <si>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</si>
  <si>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</si>
  <si>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</si>
  <si>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</si>
  <si>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</si>
  <si>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</si>
  <si>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</si>
  <si>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</si>
  <si>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</si>
  <si>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</si>
  <si>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</si>
  <si>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</si>
  <si>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</si>
  <si>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</si>
  <si>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</si>
  <si>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</si>
  <si>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</si>
  <si>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</si>
  <si>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</si>
  <si>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</si>
  <si>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</si>
  <si>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</si>
  <si>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</si>
  <si>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</si>
  <si>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</si>
  <si>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</si>
  <si>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</si>
  <si>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</si>
  <si>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</si>
  <si>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</si>
  <si>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</si>
  <si>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</si>
  <si>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</si>
  <si>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</si>
  <si>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</si>
  <si>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</si>
  <si>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</si>
  <si>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</si>
  <si>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</si>
  <si>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</si>
  <si>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</si>
  <si>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</si>
  <si>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</si>
  <si>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</si>
  <si>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</si>
  <si>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</si>
  <si>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</si>
  <si>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</si>
  <si>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</si>
  <si>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</si>
  <si>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</si>
  <si>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</si>
  <si>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</si>
  <si>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</si>
  <si>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</si>
  <si>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</si>
  <si>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</si>
  <si>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</si>
  <si>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</si>
  <si>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</si>
  <si>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</si>
  <si>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</si>
  <si>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</si>
  <si>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</si>
  <si>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</si>
  <si>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</si>
  <si>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</si>
  <si>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</si>
  <si>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</si>
  <si>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</si>
  <si>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</si>
  <si>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</si>
  <si>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</si>
  <si>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</si>
  <si>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</si>
  <si>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</si>
  <si>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</si>
  <si>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</si>
  <si>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</si>
  <si>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</si>
  <si>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</si>
  <si>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</si>
  <si>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</si>
  <si>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</si>
  <si>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</si>
  <si>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</si>
  <si>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</si>
  <si>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</si>
  <si>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</si>
  <si>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</si>
  <si>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</si>
  <si>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</si>
  <si>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</si>
  <si>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</si>
  <si>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</si>
  <si>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</si>
  <si>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</si>
  <si>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</si>
  <si>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</si>
  <si>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</si>
  <si>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</si>
  <si>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</si>
  <si>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</si>
  <si>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</si>
  <si>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</si>
  <si>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</si>
  <si>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</si>
  <si>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</si>
  <si>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</si>
  <si>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</si>
  <si>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</si>
  <si>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</si>
  <si>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</si>
  <si>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</si>
  <si>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</si>
  <si>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</si>
  <si>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</si>
  <si>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</si>
  <si>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</si>
  <si>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</si>
  <si>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</si>
  <si>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</si>
  <si>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</si>
  <si>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</si>
  <si>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</si>
  <si>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</si>
  <si>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</si>
  <si>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</si>
  <si>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</si>
  <si>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</si>
  <si>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</si>
  <si>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</si>
  <si>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</si>
  <si>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</si>
  <si>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</si>
  <si>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</si>
  <si>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</si>
  <si>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</si>
  <si>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</si>
  <si>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</si>
  <si>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</si>
  <si>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</si>
  <si>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</si>
  <si>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</si>
  <si>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</si>
  <si>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</si>
  <si>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</si>
  <si>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</si>
  <si>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</si>
  <si>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</si>
  <si>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</si>
  <si>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</si>
  <si>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</si>
  <si>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</si>
  <si>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</si>
  <si>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</si>
  <si>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</si>
  <si>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</si>
  <si>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</si>
  <si>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</si>
  <si>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</si>
  <si>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</si>
  <si>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</si>
  <si>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</si>
  <si>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</si>
  <si>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</si>
  <si>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</si>
  <si>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</si>
  <si>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</si>
  <si>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</si>
  <si>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</si>
  <si>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</si>
  <si>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</si>
  <si>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</si>
  <si>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</si>
  <si>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</si>
  <si>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</si>
  <si>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</si>
  <si>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</si>
  <si>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</si>
  <si>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</si>
  <si>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</si>
  <si>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</si>
  <si>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</si>
  <si>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</si>
  <si>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</si>
  <si>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</si>
  <si>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</si>
  <si>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</si>
  <si>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</si>
  <si>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</si>
  <si>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</si>
  <si>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</si>
  <si>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</si>
  <si>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</si>
  <si>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</si>
  <si>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</si>
  <si>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</si>
  <si>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</si>
  <si>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</si>
  <si>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</si>
  <si>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</si>
  <si>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</si>
  <si>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</si>
  <si>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</si>
  <si>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</si>
  <si>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</si>
  <si>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</si>
  <si>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</si>
  <si>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</si>
  <si>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</si>
  <si>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</si>
  <si>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</si>
  <si>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</si>
  <si>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</si>
  <si>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</si>
  <si>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</si>
  <si>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</si>
  <si>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</si>
  <si>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</si>
  <si>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</si>
  <si>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</si>
  <si>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</si>
  <si>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</si>
  <si>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</si>
  <si>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</si>
  <si>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</si>
  <si>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</si>
  <si>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</si>
  <si>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</si>
  <si>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</si>
  <si>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</si>
  <si>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</si>
  <si>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</si>
  <si>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</si>
  <si>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</si>
  <si>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</si>
  <si>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</si>
  <si>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</si>
  <si>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</si>
  <si>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</si>
  <si>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</si>
  <si>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</si>
  <si>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</si>
  <si>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</si>
  <si>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</si>
  <si>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</si>
  <si>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</si>
  <si>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</si>
  <si>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</si>
  <si>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</si>
  <si>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</si>
  <si>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</si>
  <si>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</si>
  <si>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</si>
  <si>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</si>
  <si>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</si>
  <si>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</si>
  <si>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</si>
  <si>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</si>
  <si>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</si>
  <si>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</si>
  <si>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</si>
  <si>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</si>
  <si>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</si>
  <si>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</si>
  <si>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</si>
  <si>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</si>
  <si>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</si>
  <si>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</si>
  <si>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</si>
  <si>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</si>
  <si>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</si>
  <si>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</si>
  <si>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</si>
  <si>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</si>
  <si>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</si>
  <si>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</si>
  <si>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</si>
  <si>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</si>
  <si>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</si>
  <si>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</si>
  <si>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</si>
  <si>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</si>
  <si>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</si>
  <si>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</si>
  <si>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</si>
  <si>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</si>
  <si>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</si>
  <si>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</si>
  <si>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</si>
  <si>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</si>
  <si>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</si>
  <si>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</si>
  <si>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</si>
  <si>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</si>
  <si>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</si>
  <si>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</si>
  <si>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</si>
  <si>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</si>
  <si>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</si>
  <si>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</si>
  <si>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</si>
  <si>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</si>
  <si>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</si>
  <si>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</si>
  <si>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</si>
  <si>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</si>
  <si>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</si>
  <si>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</si>
  <si>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</si>
  <si>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</si>
  <si>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</si>
  <si>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</si>
  <si>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</si>
  <si>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</si>
  <si>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</si>
  <si>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</si>
  <si>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</si>
  <si>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</si>
  <si>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</si>
  <si>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</si>
  <si>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</si>
  <si>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</si>
  <si>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</si>
  <si>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</si>
  <si>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</si>
  <si>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</si>
  <si>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</si>
  <si>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</si>
  <si>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</si>
  <si>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</si>
  <si>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</si>
  <si>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</si>
  <si>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</si>
  <si>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</si>
  <si>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</si>
  <si>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</si>
  <si>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</si>
  <si>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</si>
  <si>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</si>
  <si>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</si>
  <si>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</si>
  <si>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</si>
  <si>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</si>
  <si>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</si>
  <si>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</si>
  <si>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</si>
  <si>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</si>
  <si>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</si>
  <si>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</si>
  <si>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</si>
  <si>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</si>
  <si>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</si>
  <si>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</si>
  <si>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</si>
  <si>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</si>
  <si>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</si>
  <si>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</si>
  <si>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</si>
  <si>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</si>
  <si>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</si>
  <si>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</si>
  <si>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</si>
  <si>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</si>
  <si>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</si>
  <si>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</si>
  <si>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</si>
  <si>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</si>
  <si>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</si>
  <si>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</si>
  <si>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</si>
  <si>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</si>
  <si>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</si>
  <si>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</si>
  <si>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</si>
  <si>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</si>
  <si>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</si>
  <si>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</si>
  <si>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</si>
  <si>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</si>
  <si>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</si>
  <si>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</si>
  <si>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</si>
  <si>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</si>
  <si>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</si>
  <si>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</si>
  <si>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</si>
  <si>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</si>
  <si>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</si>
  <si>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</si>
  <si>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</si>
  <si>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</si>
  <si>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</si>
  <si>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</si>
  <si>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</si>
  <si>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</si>
  <si>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</si>
  <si>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</si>
  <si>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</si>
  <si>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</si>
  <si>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</si>
  <si>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</si>
  <si>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</si>
  <si>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</si>
  <si>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</si>
  <si>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</si>
  <si>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</si>
  <si>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</si>
  <si>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</si>
  <si>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</si>
  <si>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</si>
  <si>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</si>
  <si>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</si>
  <si>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</si>
  <si>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</si>
  <si>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</si>
  <si>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</si>
  <si>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</si>
  <si>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</si>
  <si>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</si>
  <si>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</si>
  <si>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</si>
  <si>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</si>
  <si>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</si>
  <si>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</si>
  <si>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</si>
  <si>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</si>
  <si>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</si>
  <si>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</si>
  <si>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</si>
  <si>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</si>
  <si>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</si>
  <si>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</si>
  <si>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</si>
  <si>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</si>
  <si>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</si>
  <si>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</si>
  <si>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</si>
  <si>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</si>
  <si>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</si>
  <si>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</si>
  <si>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</si>
  <si>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</si>
  <si>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</si>
  <si>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</si>
  <si>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</si>
  <si>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</si>
  <si>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</si>
  <si>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</si>
  <si>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</si>
  <si>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</si>
  <si>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</si>
  <si>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</si>
  <si>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</si>
  <si>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</si>
  <si>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</si>
  <si>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</si>
  <si>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</si>
  <si>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</si>
  <si>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</si>
  <si>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</si>
  <si>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</si>
  <si>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</si>
  <si>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</si>
  <si>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</si>
  <si>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</si>
  <si>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</si>
  <si>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</si>
  <si>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</si>
  <si>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</si>
  <si>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</si>
  <si>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</si>
  <si>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</si>
  <si>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</si>
  <si>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</si>
  <si>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</si>
  <si>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</si>
  <si>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</si>
  <si>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</si>
  <si>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</si>
  <si>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</si>
  <si>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</si>
  <si>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</si>
  <si>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</si>
  <si>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</si>
  <si>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</si>
  <si>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</si>
  <si>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</si>
  <si>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</si>
  <si>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</si>
  <si>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</si>
  <si>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</si>
  <si>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</si>
  <si>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</si>
  <si>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</si>
  <si>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</si>
  <si>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</si>
  <si>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</si>
  <si>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</si>
  <si>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</si>
  <si>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</si>
  <si>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</si>
  <si>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</si>
  <si>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</si>
  <si>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</si>
  <si>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</si>
  <si>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</si>
  <si>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</si>
  <si>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</si>
  <si>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</si>
  <si>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</si>
  <si>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</si>
  <si>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</si>
  <si>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</si>
  <si>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</si>
  <si>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</si>
  <si>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</si>
  <si>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</si>
  <si>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</si>
  <si>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</si>
  <si>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</si>
  <si>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</si>
  <si>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</si>
  <si>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</si>
  <si>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</si>
  <si>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</si>
  <si>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</si>
  <si>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</si>
  <si>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</si>
  <si>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</si>
  <si>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</si>
  <si>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</si>
  <si>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</si>
  <si>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</si>
  <si>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</si>
  <si>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</si>
  <si>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</si>
  <si>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</si>
  <si>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</si>
  <si>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</si>
  <si>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</si>
  <si>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</si>
  <si>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</si>
  <si>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</si>
  <si>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</si>
  <si>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</si>
  <si>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</si>
  <si>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</si>
  <si>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</si>
  <si>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</si>
  <si>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</si>
  <si>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</si>
  <si>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</si>
  <si>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</si>
  <si>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</si>
  <si>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</si>
  <si>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</si>
  <si>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</si>
  <si>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</si>
  <si>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</si>
  <si>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</si>
  <si>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</si>
  <si>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</si>
  <si>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</si>
  <si>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</si>
  <si>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</si>
  <si>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</si>
  <si>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</si>
  <si>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</si>
  <si>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</si>
  <si>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</si>
  <si>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</si>
  <si>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</si>
  <si>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</si>
  <si>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</si>
  <si>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</si>
  <si>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</si>
  <si>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</si>
  <si>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</si>
  <si>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</si>
  <si>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</si>
  <si>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</si>
  <si>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</si>
  <si>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</si>
  <si>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</si>
  <si>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</si>
  <si>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</si>
  <si>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</si>
  <si>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</si>
  <si>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</si>
  <si>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</si>
  <si>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</si>
  <si>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</si>
  <si>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</si>
  <si>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</si>
  <si>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</si>
  <si>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</si>
  <si>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</si>
  <si>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</si>
  <si>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</si>
  <si>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</si>
  <si>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</si>
  <si>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</si>
  <si>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</si>
  <si>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</si>
  <si>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</si>
  <si>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</si>
  <si>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</si>
  <si>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</si>
  <si>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</si>
  <si>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</si>
  <si>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</si>
  <si>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</si>
  <si>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</si>
  <si>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</si>
  <si>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</si>
  <si>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</si>
  <si>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</si>
  <si>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</si>
  <si>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</si>
  <si>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</si>
  <si>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</si>
  <si>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</si>
  <si>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</si>
  <si>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</si>
  <si>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</si>
  <si>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</si>
  <si>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</si>
  <si>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</si>
  <si>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</si>
  <si>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</si>
  <si>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</si>
  <si>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</si>
  <si>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</si>
  <si>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</si>
  <si>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</si>
  <si>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</si>
  <si>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</si>
  <si>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</si>
  <si>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</si>
  <si>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</si>
  <si>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</si>
  <si>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</si>
  <si>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</si>
  <si>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</si>
  <si>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</si>
  <si>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</si>
  <si>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</si>
  <si>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</si>
  <si>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</si>
  <si>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</si>
  <si>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</si>
  <si>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</si>
  <si>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</si>
  <si>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</si>
  <si>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</si>
  <si>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</si>
  <si>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</si>
  <si>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</si>
  <si>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</si>
  <si>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</si>
  <si>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</si>
  <si>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</si>
  <si>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</si>
  <si>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</si>
  <si>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</si>
  <si>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</si>
  <si>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</si>
  <si>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</si>
  <si>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</si>
  <si>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</si>
  <si>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</si>
  <si>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</si>
  <si>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</si>
  <si>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</si>
  <si>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</si>
  <si>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</si>
  <si>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</si>
  <si>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</si>
  <si>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</si>
  <si>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</si>
  <si>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</si>
  <si>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</si>
  <si>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</si>
  <si>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</si>
  <si>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</si>
  <si>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</si>
  <si>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</si>
  <si>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</si>
  <si>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</si>
  <si>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</si>
  <si>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</si>
  <si>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</si>
  <si>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</si>
  <si>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</si>
  <si>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</si>
  <si>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</si>
  <si>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</si>
  <si>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</si>
  <si>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</si>
  <si>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</si>
  <si>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</si>
  <si>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</si>
  <si>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</si>
  <si>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</si>
  <si>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</si>
  <si>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</si>
  <si>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</si>
  <si>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</si>
  <si>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</si>
  <si>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</si>
  <si>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</si>
  <si>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</si>
  <si>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</si>
  <si>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</si>
  <si>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</si>
  <si>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</si>
  <si>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</si>
  <si>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</si>
  <si>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</si>
  <si>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</si>
  <si>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</si>
  <si>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</si>
  <si>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</si>
  <si>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</si>
  <si>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</si>
  <si>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</si>
  <si>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</si>
  <si>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</si>
  <si>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</si>
  <si>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</si>
  <si>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</si>
  <si>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</si>
  <si>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</si>
  <si>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</si>
  <si>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</si>
  <si>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</si>
  <si>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</si>
  <si>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</si>
  <si>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</si>
  <si>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</si>
  <si>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</si>
  <si>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</si>
  <si>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</si>
  <si>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</si>
  <si>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</si>
  <si>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</si>
  <si>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</si>
  <si>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</si>
  <si>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</si>
  <si>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</si>
  <si>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</si>
  <si>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</si>
  <si>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</si>
  <si>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</si>
  <si>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</si>
  <si>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</si>
  <si>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</si>
  <si>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</si>
  <si>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</si>
  <si>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</si>
  <si>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</si>
  <si>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</si>
  <si>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</si>
  <si>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</si>
  <si>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</si>
  <si>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</si>
  <si>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</si>
  <si>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</si>
  <si>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</si>
  <si>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</si>
  <si>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</si>
  <si>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</si>
  <si>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</si>
  <si>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</si>
  <si>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</si>
  <si>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</si>
  <si>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</si>
  <si>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</si>
  <si>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</si>
  <si>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</si>
  <si>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</si>
  <si>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</si>
  <si>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</si>
  <si>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</si>
  <si>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</si>
  <si>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</si>
  <si>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</si>
  <si>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</si>
  <si>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</si>
  <si>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</si>
  <si>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</si>
  <si>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</si>
  <si>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</si>
  <si>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</si>
  <si>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</si>
  <si>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</si>
  <si>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</si>
  <si>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</si>
  <si>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</si>
  <si>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</si>
  <si>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</si>
  <si>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</si>
  <si>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</si>
  <si>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</si>
  <si>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</si>
  <si>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</si>
  <si>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</si>
  <si>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</si>
  <si>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</si>
  <si>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</si>
  <si>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</si>
  <si>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</si>
  <si>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</si>
  <si>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</si>
  <si>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</si>
  <si>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</si>
  <si>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</si>
  <si>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</si>
  <si>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</si>
  <si>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</si>
  <si>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</si>
  <si>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</si>
  <si>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</si>
  <si>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</si>
  <si>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</si>
  <si>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</si>
  <si>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</si>
  <si>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</si>
  <si>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</si>
  <si>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</si>
  <si>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</si>
  <si>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</si>
  <si>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</si>
  <si>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</si>
  <si>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</si>
  <si>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</si>
  <si>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</si>
  <si>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</si>
  <si>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</si>
  <si>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</si>
  <si>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</si>
  <si>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</si>
  <si>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</si>
  <si>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</si>
  <si>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</si>
  <si>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</si>
  <si>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</si>
  <si>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</si>
  <si>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</si>
  <si>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</si>
  <si>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</si>
  <si>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</si>
  <si>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</si>
  <si>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</si>
  <si>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</si>
  <si>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</si>
  <si>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</si>
  <si>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</si>
  <si>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</si>
  <si>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</si>
  <si>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</si>
  <si>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</si>
  <si>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</si>
  <si>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</si>
  <si>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</si>
  <si>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</si>
  <si>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</si>
  <si>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</si>
  <si>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</si>
  <si>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</si>
  <si>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</si>
  <si>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</si>
  <si>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</si>
  <si>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</si>
  <si>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</si>
  <si>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</si>
  <si>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</si>
  <si>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</si>
  <si>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</si>
  <si>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</si>
  <si>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</si>
  <si>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</si>
  <si>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</si>
  <si>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</si>
  <si>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</si>
  <si>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</si>
  <si>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</si>
  <si>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</si>
  <si>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</si>
  <si>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</si>
  <si>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</si>
  <si>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</si>
  <si>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</si>
  <si>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</si>
  <si>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</si>
  <si>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</si>
  <si>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</si>
  <si>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</si>
  <si>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</si>
  <si>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</si>
  <si>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</si>
  <si>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</si>
  <si>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</si>
  <si>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</si>
  <si>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</si>
  <si>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</si>
  <si>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</si>
  <si>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</si>
  <si>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</si>
  <si>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</si>
  <si>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</si>
  <si>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</si>
  <si>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</si>
  <si>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</si>
  <si>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</si>
  <si>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</si>
  <si>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</si>
  <si>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</si>
  <si>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</si>
  <si>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</si>
  <si>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</si>
  <si>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</si>
  <si>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</si>
  <si>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</si>
  <si>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</si>
  <si>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</si>
  <si>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</si>
  <si>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</si>
  <si>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</si>
  <si>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</si>
  <si>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</si>
  <si>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</si>
  <si>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</si>
  <si>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</si>
  <si>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</si>
  <si>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</si>
  <si>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</si>
  <si>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</si>
  <si>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</si>
  <si>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</si>
  <si>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</si>
  <si>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</si>
  <si>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</si>
  <si>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</si>
  <si>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</si>
  <si>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</si>
  <si>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</si>
  <si>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</si>
  <si>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</si>
  <si>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</si>
  <si>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</si>
  <si>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</si>
  <si>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</si>
  <si>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</si>
  <si>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</si>
  <si>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</si>
  <si>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</si>
  <si>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</si>
  <si>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</si>
  <si>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</si>
  <si>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</si>
  <si>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</si>
  <si>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</si>
  <si>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</si>
  <si>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</si>
  <si>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</si>
  <si>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</si>
  <si>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</si>
  <si>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</si>
  <si>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</si>
  <si>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</si>
  <si>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</si>
  <si>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</si>
  <si>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</si>
  <si>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</si>
  <si>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</si>
  <si>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</si>
  <si>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</si>
  <si>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</si>
  <si>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</si>
  <si>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</si>
  <si>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</si>
  <si>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</si>
  <si>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</si>
  <si>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</si>
  <si>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</si>
  <si>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</si>
  <si>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</si>
  <si>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</si>
  <si>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</si>
  <si>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</si>
  <si>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</si>
  <si>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</si>
  <si>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</si>
  <si>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</si>
  <si>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</si>
  <si>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</si>
  <si>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</si>
  <si>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</si>
  <si>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</si>
  <si>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</si>
  <si>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</si>
  <si>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</si>
  <si>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</si>
  <si>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</si>
  <si>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</si>
  <si>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</si>
  <si>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</si>
  <si>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</si>
  <si>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</si>
  <si>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</si>
  <si>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</si>
  <si>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</si>
  <si>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</si>
  <si>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</si>
  <si>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</si>
  <si>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</si>
  <si>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</si>
  <si>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</si>
  <si>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</si>
  <si>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</si>
  <si>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</si>
  <si>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</si>
  <si>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</si>
  <si>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</si>
  <si>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</si>
  <si>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</si>
  <si>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</si>
  <si>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</si>
  <si>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</si>
  <si>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</si>
  <si>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</si>
  <si>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</si>
  <si>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</si>
  <si>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</si>
  <si>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</si>
  <si>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</si>
  <si>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</si>
  <si>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</si>
  <si>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</si>
  <si>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</si>
  <si>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</si>
  <si>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</si>
  <si>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</si>
  <si>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</si>
  <si>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</si>
  <si>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</si>
  <si>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</si>
  <si>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</si>
  <si>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</si>
  <si>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</si>
  <si>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</si>
  <si>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</si>
  <si>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</si>
  <si>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</si>
  <si>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</si>
  <si>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</si>
  <si>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</si>
  <si>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</si>
  <si>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</si>
  <si>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</si>
  <si>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</si>
  <si>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</si>
  <si>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</si>
  <si>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</si>
  <si>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</si>
  <si>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</si>
  <si>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</si>
  <si>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</si>
  <si>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</si>
  <si>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</si>
  <si>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</si>
  <si>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</si>
  <si>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</si>
  <si>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</si>
  <si>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</si>
  <si>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</si>
  <si>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</si>
  <si>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</si>
  <si>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</si>
  <si>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</si>
  <si>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</si>
  <si>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</si>
  <si>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</si>
  <si>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</si>
  <si>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</si>
  <si>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</si>
  <si>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</si>
  <si>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</si>
  <si>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</si>
  <si>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</si>
  <si>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</si>
  <si>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</si>
  <si>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</si>
  <si>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</si>
  <si>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</si>
  <si>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</si>
  <si>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</si>
  <si>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</si>
  <si>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</si>
  <si>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</si>
  <si>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</si>
  <si>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</si>
  <si>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</si>
  <si>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</si>
  <si>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</si>
  <si>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</si>
  <si>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</si>
  <si>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</si>
  <si>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</si>
  <si>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</si>
  <si>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</si>
  <si>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</si>
  <si>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</si>
  <si>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</si>
  <si>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</si>
  <si>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</si>
  <si>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</si>
  <si>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</si>
  <si>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</si>
  <si>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</si>
  <si>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</si>
  <si>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</si>
  <si>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</si>
  <si>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</si>
  <si>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</si>
  <si>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</si>
  <si>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</si>
  <si>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</si>
  <si>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</si>
  <si>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</si>
  <si>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</si>
  <si>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</si>
  <si>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</si>
  <si>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</si>
  <si>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</si>
  <si>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</si>
  <si>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</si>
  <si>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</si>
  <si>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</si>
  <si>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</si>
  <si>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</si>
  <si>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</si>
  <si>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</si>
  <si>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</si>
  <si>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</si>
  <si>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</si>
  <si>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</si>
  <si>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</si>
  <si>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</si>
  <si>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</si>
  <si>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</si>
  <si>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</si>
  <si>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</si>
  <si>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</si>
  <si>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</si>
  <si>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</si>
  <si>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</si>
  <si>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</si>
  <si>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</si>
  <si>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</si>
  <si>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</si>
  <si>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</si>
  <si>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</si>
  <si>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</si>
  <si>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</si>
  <si>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</si>
  <si>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</si>
  <si>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</si>
  <si>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</si>
  <si>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</si>
  <si>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</si>
  <si>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</si>
  <si>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</si>
  <si>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</si>
  <si>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</si>
  <si>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</si>
  <si>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</si>
  <si>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</si>
  <si>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</si>
  <si>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</si>
  <si>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</si>
  <si>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</si>
  <si>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</si>
  <si>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</si>
  <si>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</si>
  <si>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</si>
  <si>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</si>
  <si>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</si>
  <si>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</si>
  <si>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</si>
  <si>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</si>
  <si>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</si>
  <si>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</si>
  <si>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</si>
  <si>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</si>
  <si>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</si>
  <si>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</si>
  <si>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</si>
  <si>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</si>
  <si>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</si>
  <si>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</si>
  <si>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</si>
  <si>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</si>
  <si>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</si>
  <si>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</si>
  <si>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</si>
  <si>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</si>
  <si>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</si>
  <si>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</si>
  <si>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</si>
  <si>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</si>
  <si>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</si>
  <si>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</si>
  <si>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</si>
  <si>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</si>
  <si>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</si>
  <si>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</si>
  <si>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</si>
  <si>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</si>
  <si>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</si>
  <si>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</si>
  <si>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</si>
  <si>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</si>
  <si>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</si>
  <si>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</si>
  <si>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</si>
  <si>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</si>
  <si>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</si>
  <si>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</si>
  <si>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</si>
  <si>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</si>
  <si>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</si>
  <si>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</si>
  <si>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</si>
  <si>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</si>
  <si>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</si>
  <si>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</si>
  <si>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</si>
  <si>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</si>
  <si>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</si>
  <si>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</si>
  <si>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</si>
  <si>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</si>
  <si>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</si>
  <si>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</si>
  <si>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</si>
  <si>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</si>
  <si>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</si>
  <si>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</si>
  <si>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</si>
  <si>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</si>
  <si>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</si>
  <si>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</si>
  <si>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</si>
  <si>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</si>
  <si>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</si>
  <si>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</si>
  <si>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</si>
  <si>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</si>
  <si>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</si>
  <si>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</si>
  <si>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</si>
  <si>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</si>
  <si>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</si>
  <si>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</si>
  <si>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</si>
  <si>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</si>
  <si>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</si>
  <si>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</si>
  <si>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</si>
  <si>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</si>
  <si>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</si>
  <si>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</si>
  <si>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</si>
  <si>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</si>
  <si>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</si>
  <si>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</si>
  <si>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</si>
  <si>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</si>
  <si>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</si>
  <si>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</si>
  <si>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</si>
  <si>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</si>
  <si>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</si>
  <si>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</si>
  <si>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</si>
  <si>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</si>
  <si>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</si>
  <si>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</si>
  <si>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</si>
  <si>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</si>
  <si>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</si>
  <si>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</si>
  <si>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</si>
  <si>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</si>
  <si>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</si>
  <si>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</si>
  <si>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</si>
  <si>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</si>
  <si>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</si>
  <si>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</si>
  <si>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</si>
  <si>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</si>
  <si>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</si>
  <si>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</si>
  <si>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</si>
  <si>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</si>
  <si>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</si>
  <si>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</si>
  <si>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</si>
  <si>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</si>
  <si>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</si>
  <si>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</si>
  <si>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</si>
  <si>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</si>
  <si>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</si>
  <si>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</si>
  <si>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</si>
  <si>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</si>
  <si>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</si>
  <si>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</si>
  <si>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</si>
  <si>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</si>
  <si>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</si>
  <si>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</si>
  <si>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</si>
  <si>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</si>
  <si>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</si>
  <si>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</si>
  <si>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</si>
  <si>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</si>
  <si>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</si>
  <si>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</si>
  <si>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</si>
  <si>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</si>
  <si>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</si>
  <si>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</si>
  <si>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</si>
  <si>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</si>
  <si>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</si>
  <si>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</si>
  <si>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</si>
  <si>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</si>
  <si>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</si>
  <si>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</si>
  <si>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</si>
  <si>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</si>
  <si>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</si>
  <si>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</si>
  <si>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</si>
  <si>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</si>
  <si>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</si>
  <si>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</si>
  <si>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</si>
  <si>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</si>
  <si>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</si>
  <si>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</si>
  <si>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</si>
  <si>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</si>
  <si>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</si>
  <si>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</si>
  <si>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</si>
  <si>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</si>
  <si>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</si>
  <si>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</si>
  <si>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</si>
  <si>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</si>
  <si>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</si>
  <si>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</si>
  <si>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</si>
  <si>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</si>
  <si>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</si>
  <si>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</si>
  <si>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</si>
  <si>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</si>
  <si>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</si>
  <si>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</si>
  <si>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</si>
  <si>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</si>
  <si>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</si>
  <si>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</si>
  <si>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</si>
  <si>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</si>
  <si>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</si>
  <si>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</si>
  <si>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</si>
  <si>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</si>
  <si>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</si>
  <si>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</si>
  <si>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</si>
  <si>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</si>
  <si>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</si>
  <si>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</si>
  <si>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</si>
  <si>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</si>
  <si>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</si>
  <si>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</si>
  <si>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</si>
  <si>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</si>
  <si>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</si>
  <si>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</si>
  <si>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</si>
  <si>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</si>
  <si>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</si>
  <si>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</si>
  <si>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</si>
  <si>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</si>
  <si>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</si>
  <si>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</si>
  <si>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</si>
  <si>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</si>
  <si>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</si>
  <si>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</si>
  <si>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</si>
  <si>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</si>
  <si>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</si>
  <si>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</si>
  <si>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</si>
  <si>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</si>
  <si>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</si>
  <si>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</si>
  <si>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</si>
  <si>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</si>
  <si>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</si>
  <si>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</si>
  <si>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</si>
  <si>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</si>
  <si>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</si>
  <si>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</si>
  <si>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</si>
  <si>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</si>
  <si>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</si>
  <si>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</si>
  <si>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</si>
  <si>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</si>
  <si>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</si>
  <si>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</si>
  <si>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</si>
  <si>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</si>
  <si>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</si>
  <si>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</si>
  <si>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</si>
  <si>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</si>
  <si>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</si>
  <si>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</si>
  <si>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</si>
  <si>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</si>
  <si>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</si>
  <si>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</si>
  <si>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</si>
  <si>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</si>
  <si>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</si>
  <si>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</si>
  <si>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</si>
  <si>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</si>
  <si>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</si>
  <si>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</si>
  <si>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</si>
  <si>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</si>
  <si>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</si>
  <si>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</si>
  <si>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</si>
  <si>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</si>
  <si>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</si>
  <si>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</si>
  <si>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</si>
  <si>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</si>
  <si>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</si>
  <si>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</si>
  <si>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</si>
  <si>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</si>
  <si>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</si>
  <si>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</si>
  <si>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</si>
  <si>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</si>
  <si>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</si>
  <si>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</si>
  <si>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</si>
  <si>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</si>
  <si>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</si>
  <si>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</si>
  <si>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</si>
  <si>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</si>
  <si>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</si>
  <si>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</si>
  <si>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</si>
  <si>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</si>
  <si>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</si>
  <si>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</si>
  <si>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</si>
  <si>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</si>
  <si>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</si>
  <si>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</si>
  <si>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</si>
  <si>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</si>
  <si>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</si>
  <si>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</si>
  <si>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</si>
  <si>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</si>
  <si>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</si>
  <si>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</si>
  <si>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</si>
  <si>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</si>
  <si>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</si>
  <si>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</si>
  <si>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</si>
  <si>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</si>
  <si>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</si>
  <si>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</si>
  <si>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</si>
  <si>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</si>
  <si>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</si>
  <si>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</si>
  <si>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</si>
  <si>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</si>
  <si>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</si>
  <si>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</si>
  <si>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</si>
  <si>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</si>
  <si>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</si>
  <si>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</si>
  <si>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</si>
  <si>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</si>
  <si>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</si>
  <si>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</si>
  <si>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</si>
  <si>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</si>
  <si>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</si>
  <si>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</si>
  <si>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</si>
  <si>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</si>
  <si>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</si>
  <si>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</si>
  <si>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</si>
  <si>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</si>
  <si>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</si>
  <si>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</si>
  <si>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</si>
  <si>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</si>
  <si>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</si>
  <si>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</si>
  <si>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</si>
  <si>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</si>
  <si>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</si>
  <si>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</si>
  <si>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</si>
  <si>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</si>
  <si>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</si>
  <si>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</si>
  <si>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</si>
  <si>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</si>
  <si>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</si>
  <si>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</si>
  <si>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</si>
  <si>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</si>
  <si>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</si>
  <si>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</si>
  <si>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</si>
  <si>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</si>
  <si>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</si>
  <si>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</si>
  <si>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</si>
  <si>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</si>
  <si>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</si>
  <si>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</si>
  <si>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</si>
  <si>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</si>
  <si>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</si>
  <si>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</si>
  <si>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</si>
  <si>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</si>
  <si>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</si>
  <si>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</si>
  <si>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</si>
  <si>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</si>
  <si>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</si>
  <si>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</si>
  <si>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</si>
  <si>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</si>
  <si>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</si>
  <si>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</si>
  <si>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</si>
  <si>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</si>
  <si>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</si>
  <si>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</si>
  <si>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</si>
  <si>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</si>
  <si>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</si>
  <si>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</si>
  <si>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</si>
  <si>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</si>
  <si>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</si>
  <si>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</si>
  <si>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</si>
  <si>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</si>
  <si>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</si>
  <si>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</si>
  <si>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</si>
  <si>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</si>
  <si>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</si>
  <si>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</si>
  <si>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</si>
  <si>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</si>
  <si>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</si>
  <si>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</si>
  <si>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</si>
  <si>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</si>
  <si>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</si>
  <si>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</si>
  <si>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</si>
  <si>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</si>
  <si>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</si>
  <si>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</si>
  <si>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</si>
  <si>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</si>
  <si>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</si>
  <si>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</si>
  <si>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</si>
  <si>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</si>
  <si>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</si>
  <si>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</si>
  <si>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</si>
  <si>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</si>
  <si>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</si>
  <si>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</si>
  <si>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</si>
  <si>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</si>
  <si>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</si>
  <si>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</si>
  <si>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</si>
  <si>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</si>
  <si>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</si>
  <si>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</si>
  <si>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</si>
  <si>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</si>
  <si>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</si>
  <si>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</si>
  <si>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</si>
  <si>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</si>
  <si>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</si>
  <si>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</si>
  <si>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</si>
  <si>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</si>
  <si>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</si>
  <si>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</si>
  <si>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</si>
  <si>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</si>
  <si>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</si>
  <si>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</si>
  <si>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</si>
  <si>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</si>
  <si>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</si>
  <si>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</si>
  <si>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</si>
  <si>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</si>
  <si>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</si>
  <si>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</si>
  <si>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</si>
  <si>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</si>
  <si>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</si>
  <si>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</si>
  <si>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</si>
  <si>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</si>
  <si>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</si>
  <si>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</si>
  <si>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</si>
  <si>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</si>
  <si>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</si>
  <si>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</si>
  <si>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</si>
  <si>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</si>
  <si>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</si>
  <si>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</si>
  <si>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</si>
  <si>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</si>
  <si>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</si>
  <si>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</si>
  <si>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</si>
  <si>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</si>
  <si>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</si>
  <si>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</si>
  <si>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</si>
  <si>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</si>
  <si>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</si>
  <si>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</si>
  <si>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</si>
  <si>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</si>
  <si>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</si>
  <si>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</si>
  <si>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</si>
  <si>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</si>
  <si>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</si>
  <si>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</si>
  <si>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</si>
  <si>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</si>
  <si>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</si>
  <si>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</si>
  <si>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</si>
  <si>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</si>
  <si>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</si>
  <si>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</si>
  <si>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</si>
  <si>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</si>
  <si>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</si>
  <si>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</si>
  <si>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</si>
  <si>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</si>
  <si>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</si>
  <si>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</si>
  <si>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</si>
  <si>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</si>
  <si>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</si>
  <si>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</si>
  <si>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</si>
  <si>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</si>
  <si>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</si>
  <si>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</si>
  <si>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</si>
  <si>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</si>
  <si>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</si>
  <si>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</si>
  <si>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</si>
  <si>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</si>
  <si>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</si>
  <si>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</si>
  <si>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</si>
  <si>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</si>
  <si>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</si>
  <si>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</si>
  <si>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</si>
  <si>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</si>
  <si>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</si>
  <si>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</si>
  <si>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</si>
  <si>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</si>
  <si>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</si>
  <si>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</si>
  <si>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</si>
  <si>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</si>
  <si>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</si>
  <si>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</si>
  <si>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</si>
  <si>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</si>
  <si>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</si>
  <si>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</si>
  <si>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</si>
  <si>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</si>
  <si>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</si>
  <si>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</si>
  <si>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</si>
  <si>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</si>
  <si>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</si>
  <si>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</si>
  <si>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</si>
  <si>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</si>
  <si>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</si>
  <si>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</si>
  <si>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</si>
  <si>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</si>
  <si>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</si>
  <si>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</si>
  <si>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</si>
  <si>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</si>
  <si>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</si>
  <si>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</si>
  <si>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</si>
  <si>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</si>
  <si>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</si>
  <si>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</si>
  <si>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</si>
  <si>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</si>
  <si>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</si>
  <si>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</si>
  <si>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</si>
  <si>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</si>
  <si>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</si>
  <si>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</si>
  <si>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</si>
  <si>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</si>
  <si>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</si>
  <si>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</si>
  <si>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</si>
  <si>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</si>
  <si>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</si>
  <si>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</si>
  <si>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</si>
  <si>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</si>
  <si>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</si>
  <si>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</si>
  <si>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</si>
  <si>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</si>
  <si>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</si>
  <si>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</si>
  <si>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</si>
  <si>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</si>
  <si>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</si>
  <si>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</si>
  <si>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</si>
  <si>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</si>
  <si>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</si>
  <si>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</si>
  <si>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</si>
  <si>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</si>
  <si>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</si>
  <si>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</si>
  <si>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</si>
  <si>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</si>
  <si>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</si>
  <si>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</si>
  <si>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</si>
  <si>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</si>
  <si>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</si>
  <si>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</si>
  <si>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</si>
  <si>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</si>
  <si>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</si>
  <si>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</si>
  <si>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</si>
  <si>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</si>
  <si>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</si>
  <si>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</si>
  <si>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</si>
  <si>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</si>
  <si>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</si>
  <si>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</si>
  <si>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</si>
  <si>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</si>
  <si>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</si>
  <si>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</si>
  <si>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</si>
  <si>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</si>
  <si>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</si>
  <si>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</si>
  <si>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</si>
  <si>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</si>
  <si>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</si>
  <si>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</si>
  <si>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</si>
  <si>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</si>
  <si>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</si>
  <si>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</si>
  <si>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</si>
  <si>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</si>
  <si>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</si>
  <si>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</si>
  <si>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</si>
  <si>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</si>
  <si>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</si>
  <si>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</si>
  <si>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</si>
  <si>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</si>
  <si>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</si>
  <si>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</si>
  <si>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</si>
  <si>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</si>
  <si>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</si>
  <si>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</si>
  <si>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</si>
  <si>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</si>
  <si>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</si>
  <si>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</si>
  <si>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</si>
  <si>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</si>
  <si>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</si>
  <si>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</si>
  <si>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</si>
  <si>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</si>
  <si>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</si>
  <si>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</si>
  <si>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</si>
  <si>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</si>
  <si>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</si>
  <si>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</si>
  <si>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</si>
  <si>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</si>
  <si>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</si>
  <si>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</si>
  <si>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</si>
  <si>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</si>
  <si>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</si>
  <si>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</si>
  <si>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</si>
  <si>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</si>
  <si>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</si>
  <si>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</si>
  <si>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</si>
  <si>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</si>
  <si>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</si>
  <si>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</si>
  <si>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</si>
  <si>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</si>
  <si>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</si>
  <si>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</si>
  <si>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</si>
  <si>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</si>
  <si>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</si>
  <si>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</si>
  <si>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</si>
  <si>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</si>
  <si>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</si>
  <si>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</si>
  <si>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</si>
  <si>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</si>
  <si>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</si>
  <si>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</si>
  <si>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</si>
  <si>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</si>
  <si>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</si>
  <si>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</si>
  <si>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</si>
  <si>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</si>
  <si>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</si>
  <si>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</si>
  <si>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</si>
  <si>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</si>
  <si>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</si>
  <si>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</si>
  <si>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</si>
  <si>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</si>
  <si>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</si>
  <si>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</si>
  <si>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</si>
  <si>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</si>
  <si>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</si>
  <si>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</si>
  <si>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</si>
  <si>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</si>
  <si>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</si>
  <si>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</si>
  <si>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</si>
  <si>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</si>
  <si>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</si>
  <si>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</si>
  <si>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</si>
  <si>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</si>
  <si>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</si>
  <si>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</si>
  <si>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</si>
  <si>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</si>
  <si>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</si>
  <si>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</si>
  <si>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</si>
  <si>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</si>
  <si>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</si>
  <si>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</si>
  <si>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</si>
  <si>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</si>
  <si>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</si>
  <si>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</si>
  <si>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</si>
  <si>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</si>
  <si>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</si>
  <si>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</si>
  <si>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</si>
  <si>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</si>
  <si>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</si>
  <si>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</si>
  <si>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</si>
  <si>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</si>
  <si>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</si>
  <si>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</si>
  <si>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</si>
  <si>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</si>
  <si>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</si>
  <si>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</si>
  <si>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</si>
  <si>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</si>
  <si>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</si>
  <si>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</si>
  <si>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</si>
  <si>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</si>
  <si>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</si>
  <si>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</si>
  <si>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</si>
  <si>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</si>
  <si>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</si>
  <si>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</si>
  <si>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</si>
  <si>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</si>
  <si>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</si>
  <si>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</si>
  <si>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</si>
  <si>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</si>
  <si>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</si>
  <si>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</si>
  <si>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</si>
  <si>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</si>
  <si>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</si>
  <si>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</si>
  <si>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</si>
  <si>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</si>
  <si>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</si>
  <si>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</si>
  <si>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</si>
  <si>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</si>
  <si>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</si>
  <si>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</si>
  <si>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</si>
  <si>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</si>
  <si>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</si>
  <si>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</si>
  <si>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</si>
  <si>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</si>
  <si>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</si>
  <si>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</si>
  <si>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</si>
  <si>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</si>
  <si>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</si>
  <si>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</si>
  <si>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</si>
  <si>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</si>
  <si>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</si>
  <si>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</si>
  <si>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</si>
  <si>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</si>
  <si>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</si>
  <si>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</si>
  <si>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</si>
  <si>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</si>
  <si>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</si>
  <si>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</si>
  <si>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</si>
  <si>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</si>
  <si>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</si>
  <si>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</si>
  <si>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</si>
  <si>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</si>
  <si>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</si>
  <si>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</si>
  <si>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</si>
  <si>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</si>
  <si>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</si>
  <si>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</si>
  <si>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</si>
  <si>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</si>
  <si>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</si>
  <si>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</si>
  <si>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</si>
  <si>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</si>
  <si>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</si>
  <si>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</si>
  <si>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</si>
  <si>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</si>
  <si>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</si>
  <si>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</si>
  <si>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</si>
  <si>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</si>
  <si>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</si>
  <si>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</si>
  <si>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</si>
  <si>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</si>
  <si>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</si>
  <si>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</si>
  <si>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</si>
  <si>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</si>
  <si>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</si>
  <si>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</si>
  <si>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</si>
  <si>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</si>
  <si>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</si>
  <si>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</si>
  <si>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</si>
  <si>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</si>
  <si>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</si>
  <si>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</si>
  <si>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</si>
  <si>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</si>
  <si>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</si>
  <si>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</si>
  <si>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</si>
  <si>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</si>
  <si>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</si>
  <si>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</si>
  <si>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</si>
  <si>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</si>
  <si>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</si>
  <si>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</si>
  <si>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</si>
  <si>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</si>
  <si>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</si>
  <si>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</si>
  <si>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</si>
  <si>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</si>
  <si>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</si>
  <si>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</si>
  <si>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</si>
  <si>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</si>
  <si>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</si>
  <si>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</si>
  <si>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</si>
  <si>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</si>
  <si>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</si>
  <si>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</si>
  <si>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</si>
  <si>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</si>
  <si>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</si>
  <si>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</si>
  <si>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</si>
  <si>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</si>
  <si>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</si>
  <si>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</si>
  <si>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</si>
  <si>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</si>
  <si>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</si>
  <si>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</si>
  <si>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</si>
  <si>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</si>
  <si>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</si>
  <si>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</si>
  <si>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</si>
  <si>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</si>
  <si>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</si>
  <si>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</si>
  <si>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</si>
  <si>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</si>
  <si>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</si>
  <si>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</si>
  <si>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</si>
  <si>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</si>
  <si>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</si>
  <si>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</si>
  <si>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</si>
  <si>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</si>
  <si>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</si>
  <si>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</si>
  <si>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</si>
  <si>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</si>
  <si>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</si>
  <si>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</si>
  <si>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</si>
  <si>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</si>
  <si>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</si>
  <si>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</si>
  <si>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</si>
  <si>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</si>
  <si>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</si>
  <si>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</si>
  <si>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</si>
  <si>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</si>
  <si>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</si>
  <si>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</si>
  <si>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</si>
  <si>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</si>
  <si>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</si>
  <si>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</si>
  <si>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</si>
  <si>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</si>
  <si>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</si>
  <si>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</si>
  <si>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</si>
  <si>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</si>
  <si>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</si>
  <si>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</si>
  <si>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</si>
  <si>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</si>
  <si>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</si>
  <si>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</si>
  <si>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</si>
  <si>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</si>
  <si>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</si>
  <si>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</si>
  <si>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</si>
  <si>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</si>
  <si>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</si>
  <si>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</si>
  <si>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</si>
  <si>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</si>
  <si>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</si>
  <si>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</si>
  <si>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</si>
  <si>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</si>
  <si>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</si>
  <si>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</si>
  <si>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</si>
  <si>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</si>
  <si>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</si>
  <si>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</si>
  <si>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</si>
  <si>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</si>
  <si>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</si>
  <si>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</si>
  <si>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</si>
  <si>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</si>
  <si>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</si>
  <si>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</si>
  <si>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</si>
  <si>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</si>
  <si>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</si>
  <si>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</si>
  <si>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</si>
  <si>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</si>
  <si>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</si>
  <si>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</si>
  <si>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</si>
  <si>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</si>
  <si>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</si>
  <si>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</si>
  <si>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</si>
  <si>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</si>
  <si>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</si>
  <si>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</si>
  <si>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</si>
  <si>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</si>
  <si>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</si>
  <si>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</si>
  <si>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</si>
  <si>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</si>
  <si>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</si>
  <si>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</si>
  <si>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</si>
  <si>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</si>
  <si>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</si>
  <si>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</si>
  <si>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</si>
  <si>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</si>
  <si>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</si>
  <si>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</si>
  <si>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</si>
  <si>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</si>
  <si>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</si>
  <si>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</si>
  <si>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</si>
  <si>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</si>
  <si>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</si>
  <si>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</si>
  <si>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</si>
  <si>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</si>
  <si>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</si>
  <si>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</si>
  <si>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</si>
  <si>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</si>
  <si>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</si>
  <si>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</si>
  <si>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</si>
  <si>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</si>
  <si>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</si>
  <si>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</si>
  <si>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</si>
  <si>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</si>
  <si>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</si>
  <si>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</si>
  <si>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</si>
  <si>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</si>
  <si>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</si>
  <si>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</si>
  <si>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</si>
  <si>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</si>
  <si>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</si>
  <si>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</si>
  <si>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</si>
  <si>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</si>
  <si>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</si>
  <si>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</si>
  <si>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</si>
  <si>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</si>
  <si>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</si>
  <si>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</si>
  <si>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</si>
  <si>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</si>
  <si>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</si>
  <si>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</si>
  <si>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</si>
  <si>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</si>
  <si>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</si>
  <si>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</si>
  <si>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</si>
  <si>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</si>
  <si>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</si>
  <si>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</si>
  <si>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</si>
  <si>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</si>
  <si>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</si>
  <si>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</si>
  <si>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</si>
  <si>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</si>
  <si>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</si>
  <si>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</si>
  <si>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</si>
  <si>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</si>
  <si>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</si>
  <si>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</si>
  <si>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</si>
  <si>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</si>
  <si>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</si>
  <si>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</si>
  <si>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</si>
  <si>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</si>
  <si>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</si>
  <si>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</si>
  <si>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</si>
  <si>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</si>
  <si>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</si>
  <si>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</si>
  <si>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</si>
  <si>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</si>
  <si>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</si>
  <si>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</si>
  <si>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</si>
  <si>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</si>
  <si>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</si>
  <si>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</si>
  <si>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</si>
  <si>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</si>
  <si>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</si>
  <si>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</si>
  <si>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</si>
  <si>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</si>
  <si>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</si>
  <si>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</si>
  <si>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</si>
  <si>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</si>
  <si>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</si>
  <si>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</si>
  <si>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</si>
  <si>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</si>
  <si>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</si>
  <si>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</si>
  <si>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</si>
  <si>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</si>
  <si>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</si>
  <si>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</si>
  <si>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</si>
  <si>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</si>
  <si>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</si>
  <si>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</si>
  <si>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</si>
  <si>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</si>
  <si>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</si>
  <si>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</si>
  <si>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</si>
  <si>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</si>
  <si>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</si>
  <si>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</si>
  <si>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</si>
  <si>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</si>
  <si>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</si>
  <si>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</si>
  <si>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</si>
  <si>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</si>
  <si>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</si>
  <si>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</si>
  <si>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</si>
  <si>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</si>
  <si>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</si>
  <si>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</si>
  <si>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</si>
  <si>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</si>
  <si>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</si>
  <si>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</si>
  <si>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</si>
  <si>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</si>
  <si>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</si>
  <si>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</si>
  <si>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</si>
  <si>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</si>
  <si>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</si>
  <si>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</si>
  <si>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</si>
  <si>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</si>
  <si>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</si>
  <si>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</si>
  <si>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</si>
  <si>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</si>
  <si>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</si>
  <si>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</si>
  <si>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</si>
  <si>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</si>
  <si>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</si>
  <si>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</si>
  <si>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</si>
  <si>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</si>
  <si>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</si>
  <si>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</si>
  <si>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</si>
  <si>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</si>
  <si>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</si>
  <si>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</si>
  <si>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</si>
  <si>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</si>
  <si>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</si>
  <si>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</si>
  <si>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</si>
  <si>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</si>
  <si>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</si>
  <si>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</si>
  <si>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</si>
  <si>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</si>
  <si>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</si>
  <si>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</si>
  <si>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</si>
  <si>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</si>
  <si>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</si>
  <si>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</si>
  <si>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</si>
  <si>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</si>
  <si>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</si>
  <si>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</si>
  <si>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</si>
  <si>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</si>
  <si>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</si>
  <si>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</si>
  <si>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</si>
  <si>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</si>
  <si>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</si>
  <si>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</si>
  <si>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</si>
  <si>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</si>
  <si>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</si>
  <si>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</si>
  <si>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</si>
  <si>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</si>
  <si>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</si>
  <si>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</si>
  <si>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</si>
  <si>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</si>
  <si>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</si>
  <si>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</si>
  <si>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</si>
  <si>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</si>
  <si>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</si>
  <si>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</si>
  <si>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</si>
  <si>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</si>
  <si>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</si>
  <si>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</si>
  <si>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</si>
  <si>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</si>
  <si>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</si>
  <si>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</si>
  <si>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</si>
  <si>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</si>
  <si>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</si>
  <si>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</si>
  <si>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</si>
  <si>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</si>
  <si>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</si>
  <si>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</si>
  <si>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</si>
  <si>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</si>
  <si>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</si>
  <si>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</si>
  <si>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</si>
  <si>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</si>
  <si>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</si>
  <si>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</si>
  <si>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</si>
  <si>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</si>
  <si>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</si>
  <si>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</si>
  <si>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</si>
  <si>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</si>
  <si>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</si>
  <si>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</si>
  <si>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</si>
  <si>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</si>
  <si>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</si>
  <si>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</si>
  <si>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</si>
  <si>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</si>
  <si>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</si>
  <si>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</si>
  <si>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</si>
  <si>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</si>
  <si>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</si>
  <si>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</si>
  <si>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</si>
  <si>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</si>
  <si>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</si>
  <si>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</si>
  <si>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</si>
  <si>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</si>
  <si>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</si>
  <si>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</si>
  <si>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</si>
  <si>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</si>
  <si>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</si>
  <si>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</si>
  <si>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</si>
  <si>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</si>
  <si>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</si>
  <si>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</si>
  <si>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</si>
  <si>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</si>
  <si>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</si>
  <si>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</si>
  <si>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</si>
  <si>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</si>
  <si>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</si>
  <si>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</si>
  <si>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</si>
  <si>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</si>
  <si>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</si>
  <si>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</si>
  <si>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</si>
  <si>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</si>
  <si>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</si>
  <si>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</si>
  <si>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</si>
  <si>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</si>
  <si>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</si>
  <si>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</si>
  <si>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</si>
  <si>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</si>
  <si>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</si>
  <si>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</si>
  <si>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</si>
  <si>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</si>
  <si>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</si>
  <si>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</si>
  <si>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</si>
  <si>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</si>
  <si>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</si>
  <si>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</si>
  <si>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</si>
  <si>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</si>
  <si>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</si>
  <si>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</si>
  <si>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</si>
  <si>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</si>
  <si>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</si>
  <si>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</si>
  <si>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</si>
  <si>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</si>
  <si>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</si>
  <si>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</si>
  <si>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</si>
  <si>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</si>
  <si>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</si>
  <si>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</si>
  <si>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</si>
  <si>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</si>
  <si>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</si>
  <si>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</si>
  <si>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</si>
  <si>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</si>
  <si>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</si>
  <si>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</si>
  <si>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</si>
  <si>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</si>
  <si>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</si>
  <si>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</si>
  <si>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</si>
  <si>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</si>
  <si>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</si>
  <si>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</si>
  <si>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</si>
  <si>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</si>
  <si>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</si>
  <si>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</si>
  <si>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</si>
  <si>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</si>
  <si>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</si>
  <si>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</si>
  <si>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</si>
  <si>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</si>
  <si>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</si>
  <si>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</si>
  <si>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</si>
  <si>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</si>
  <si>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</si>
  <si>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</si>
  <si>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</si>
  <si>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</si>
  <si>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</si>
  <si>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</si>
  <si>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</si>
  <si>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</si>
  <si>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</si>
  <si>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</si>
  <si>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</si>
  <si>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</si>
  <si>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</si>
  <si>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</si>
  <si>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</si>
  <si>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</si>
  <si>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</si>
  <si>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</si>
  <si>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</si>
  <si>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</si>
  <si>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</si>
  <si>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</si>
  <si>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</si>
  <si>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</si>
  <si>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</si>
  <si>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</si>
  <si>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</si>
  <si>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</si>
  <si>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</si>
  <si>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</si>
  <si>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</si>
  <si>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</si>
  <si>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</si>
  <si>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</si>
  <si>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</si>
  <si>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</si>
  <si>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</si>
  <si>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</si>
  <si>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</si>
  <si>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</si>
  <si>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</si>
  <si>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</si>
  <si>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</si>
  <si>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</si>
  <si>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</si>
  <si>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</si>
  <si>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</si>
  <si>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</si>
  <si>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</si>
  <si>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</si>
  <si>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</si>
  <si>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</si>
  <si>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</si>
  <si>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</si>
  <si>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</si>
  <si>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</si>
  <si>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</si>
  <si>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</si>
  <si>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</si>
  <si>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</si>
  <si>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</si>
  <si>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</si>
  <si>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</si>
  <si>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</si>
  <si>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</si>
  <si>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</si>
  <si>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</si>
  <si>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</si>
  <si>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</si>
  <si>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</si>
  <si>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</si>
  <si>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</si>
  <si>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</si>
  <si>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</si>
  <si>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</si>
  <si>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</si>
  <si>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</si>
  <si>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</si>
  <si>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</si>
  <si>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</si>
  <si>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</si>
  <si>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</si>
  <si>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</si>
  <si>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</si>
  <si>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</si>
  <si>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</si>
  <si>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</si>
  <si>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</si>
  <si>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</si>
  <si>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</si>
  <si>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</si>
  <si>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</si>
  <si>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</si>
  <si>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</si>
  <si>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</si>
  <si>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</si>
  <si>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</si>
  <si>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</si>
  <si>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</si>
  <si>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</si>
  <si>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</si>
  <si>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</si>
  <si>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</si>
  <si>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</si>
  <si>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</si>
  <si>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</si>
  <si>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</si>
  <si>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</si>
  <si>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</si>
  <si>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</si>
  <si>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</si>
  <si>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</si>
  <si>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</si>
  <si>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</si>
  <si>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</si>
  <si>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</si>
  <si>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</si>
  <si>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</si>
  <si>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</si>
  <si>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</si>
  <si>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</si>
  <si>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</si>
  <si>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</si>
  <si>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</si>
  <si>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</si>
  <si>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</si>
  <si>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</si>
  <si>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</si>
  <si>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</si>
  <si>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</si>
  <si>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</si>
  <si>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</si>
  <si>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</si>
  <si>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</si>
  <si>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</si>
  <si>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</si>
  <si>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</si>
  <si>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</si>
  <si>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</si>
  <si>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</si>
  <si>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</si>
  <si>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</si>
  <si>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</si>
  <si>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</si>
  <si>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</si>
  <si>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</si>
  <si>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</si>
  <si>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</si>
  <si>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</si>
  <si>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</si>
  <si>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</si>
  <si>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</si>
  <si>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</si>
  <si>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</si>
  <si>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</si>
  <si>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</si>
  <si>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</si>
  <si>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</si>
  <si>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</si>
  <si>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</si>
  <si>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</si>
  <si>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</si>
  <si>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</si>
  <si>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</si>
  <si>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</si>
  <si>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</si>
  <si>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</si>
  <si>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</si>
  <si>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</si>
  <si>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</si>
  <si>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</si>
  <si>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</si>
  <si>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</si>
  <si>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</si>
  <si>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</si>
  <si>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</si>
  <si>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</si>
  <si>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</si>
  <si>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</si>
  <si>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</si>
  <si>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</si>
  <si>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</si>
  <si>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</si>
  <si>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</si>
  <si>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</si>
  <si>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</si>
  <si>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</si>
  <si>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</si>
  <si>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</si>
  <si>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</si>
  <si>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</si>
  <si>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</si>
  <si>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</si>
  <si>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</si>
  <si>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</si>
  <si>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</si>
  <si>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</si>
  <si>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</si>
  <si>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</si>
  <si>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</si>
  <si>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</si>
  <si>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</si>
  <si>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</si>
  <si>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</si>
  <si>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</si>
  <si>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</si>
  <si>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</si>
  <si>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</si>
  <si>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</si>
  <si>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</si>
  <si>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</si>
  <si>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</si>
  <si>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</si>
  <si>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</si>
  <si>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</si>
  <si>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</si>
  <si>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</si>
  <si>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</si>
  <si>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</si>
  <si>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</si>
  <si>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</si>
  <si>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</si>
  <si>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</si>
  <si>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</si>
  <si>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</si>
  <si>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</si>
  <si>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</si>
  <si>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</si>
  <si>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</si>
  <si>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</si>
  <si>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</si>
  <si>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</si>
  <si>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</si>
  <si>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</si>
  <si>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</si>
  <si>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</si>
  <si>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</si>
  <si>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</si>
  <si>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</si>
  <si>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</si>
  <si>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</si>
  <si>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</si>
  <si>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</si>
  <si>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</si>
  <si>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</si>
  <si>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</si>
  <si>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</si>
  <si>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</si>
  <si>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</si>
  <si>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</si>
  <si>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</si>
  <si>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</si>
  <si>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</si>
  <si>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</si>
  <si>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</si>
  <si>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</si>
  <si>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</si>
  <si>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</si>
  <si>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</si>
  <si>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</si>
  <si>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</si>
  <si>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</si>
  <si>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</si>
  <si>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</si>
  <si>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</si>
  <si>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</si>
  <si>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</si>
  <si>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</si>
  <si>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</si>
  <si>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</si>
  <si>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</si>
  <si>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</si>
  <si>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</si>
  <si>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</si>
  <si>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</si>
  <si>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</si>
  <si>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</si>
  <si>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</si>
  <si>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</si>
  <si>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</si>
  <si>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</si>
  <si>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</si>
  <si>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</si>
  <si>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</si>
  <si>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</si>
  <si>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</si>
  <si>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</si>
  <si>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</si>
  <si>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</si>
  <si>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</si>
  <si>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</si>
  <si>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</si>
  <si>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</si>
  <si>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</si>
  <si>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</si>
  <si>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</si>
  <si>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</si>
  <si>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</si>
  <si>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</si>
  <si>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</si>
  <si>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</si>
  <si>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</si>
  <si>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</si>
  <si>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</si>
  <si>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</si>
  <si>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</si>
  <si>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</si>
  <si>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</si>
  <si>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</si>
  <si>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</si>
  <si>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</si>
  <si>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</si>
  <si>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</si>
  <si>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</si>
  <si>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</si>
  <si>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</si>
  <si>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</si>
  <si>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</si>
  <si>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</si>
  <si>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</si>
  <si>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</si>
  <si>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</si>
  <si>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</si>
  <si>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</si>
  <si>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</si>
  <si>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</si>
  <si>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</si>
  <si>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</si>
  <si>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</si>
  <si>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</si>
  <si>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</si>
  <si>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</si>
  <si>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</si>
  <si>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</si>
  <si>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</si>
  <si>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</si>
  <si>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</si>
  <si>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</si>
  <si>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</si>
  <si>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</si>
  <si>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</si>
  <si>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</si>
  <si>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</si>
  <si>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</si>
  <si>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</si>
  <si>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</si>
  <si>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</si>
  <si>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</si>
  <si>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</si>
  <si>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</si>
  <si>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</si>
  <si>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</si>
  <si>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</si>
  <si>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</si>
  <si>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</si>
  <si>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</si>
  <si>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</si>
  <si>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</si>
  <si>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</si>
  <si>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</si>
  <si>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</si>
  <si>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</si>
  <si>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</si>
  <si>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</si>
  <si>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</si>
  <si>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</si>
  <si>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</si>
  <si>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</si>
  <si>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</si>
  <si>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</si>
  <si>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</si>
  <si>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</si>
  <si>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</si>
  <si>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</si>
  <si>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</si>
  <si>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</si>
  <si>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</si>
  <si>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</si>
  <si>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</si>
  <si>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</si>
  <si>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</si>
  <si>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</si>
  <si>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</si>
  <si>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</si>
  <si>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</si>
  <si>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</si>
  <si>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</si>
  <si>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</si>
  <si>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</si>
  <si>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</si>
  <si>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</si>
  <si>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</si>
  <si>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</si>
  <si>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</si>
  <si>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</si>
  <si>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</si>
  <si>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</si>
  <si>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</si>
  <si>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</si>
  <si>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</si>
  <si>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</si>
  <si>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</si>
  <si>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</si>
  <si>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</si>
  <si>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</si>
  <si>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</si>
  <si>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</si>
  <si>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</si>
  <si>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</si>
  <si>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</si>
  <si>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</si>
  <si>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</si>
  <si>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</si>
  <si>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</si>
  <si>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</si>
  <si>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</si>
  <si>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</si>
  <si>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</si>
  <si>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</si>
  <si>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</si>
  <si>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</si>
  <si>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</si>
  <si>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</si>
  <si>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</si>
  <si>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</si>
  <si>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</si>
  <si>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</si>
  <si>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</si>
  <si>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</si>
  <si>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</si>
  <si>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</si>
  <si>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</si>
  <si>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</si>
  <si>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</si>
  <si>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</si>
  <si>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</si>
  <si>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</si>
  <si>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</si>
  <si>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</si>
  <si>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</si>
  <si>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</si>
  <si>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</si>
  <si>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</si>
  <si>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</si>
  <si>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</si>
  <si>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</si>
  <si>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</si>
  <si>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</si>
  <si>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</si>
  <si>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</si>
  <si>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</si>
  <si>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</si>
  <si>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</si>
  <si>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</si>
  <si>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</si>
  <si>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</si>
  <si>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</si>
  <si>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</si>
  <si>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</si>
  <si>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</si>
  <si>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</si>
  <si>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</si>
  <si>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</si>
  <si>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</si>
  <si>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</si>
  <si>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</si>
  <si>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</si>
  <si>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</si>
  <si>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</si>
  <si>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</si>
  <si>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</si>
  <si>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</si>
  <si>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</si>
  <si>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</si>
  <si>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</si>
  <si>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</si>
  <si>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</si>
  <si>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</si>
  <si>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</si>
  <si>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</si>
  <si>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</si>
  <si>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</si>
  <si>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</si>
  <si>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</si>
  <si>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</si>
  <si>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</si>
  <si>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</si>
  <si>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</si>
  <si>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</si>
  <si>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</si>
  <si>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</si>
  <si>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</si>
  <si>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</si>
  <si>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</si>
  <si>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</si>
  <si>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</si>
  <si>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</si>
  <si>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</si>
  <si>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</si>
  <si>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</si>
  <si>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</si>
  <si>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</si>
  <si>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</si>
  <si>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</si>
  <si>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</si>
  <si>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</si>
  <si>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</si>
  <si>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</si>
  <si>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</si>
  <si>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</si>
  <si>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</si>
  <si>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</si>
  <si>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</si>
  <si>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</si>
  <si>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</si>
  <si>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</si>
  <si>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</si>
  <si>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</si>
  <si>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</si>
  <si>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</si>
  <si>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</si>
  <si>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</si>
  <si>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</si>
  <si>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</si>
  <si>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</si>
  <si>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</si>
  <si>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</si>
  <si>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</si>
  <si>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</si>
  <si>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</si>
  <si>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</si>
  <si>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</si>
  <si>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</si>
  <si>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</si>
  <si>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</si>
  <si>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</si>
  <si>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</si>
  <si>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</si>
  <si>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</si>
  <si>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</si>
  <si>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</si>
  <si>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</si>
  <si>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</si>
  <si>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</si>
  <si>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</si>
  <si>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</si>
  <si>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</si>
  <si>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</si>
  <si>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</si>
  <si>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</si>
  <si>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</si>
  <si>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</si>
  <si>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</si>
  <si>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</si>
  <si>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</si>
  <si>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</si>
  <si>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</si>
  <si>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</si>
  <si>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</si>
  <si>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</si>
  <si>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</si>
  <si>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</si>
  <si>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</si>
  <si>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</si>
  <si>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</si>
  <si>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</si>
  <si>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</si>
  <si>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</si>
  <si>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</si>
  <si>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</si>
  <si>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</si>
  <si>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</si>
  <si>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</si>
  <si>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</si>
  <si>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</si>
  <si>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</si>
  <si>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</si>
  <si>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</si>
  <si>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</si>
  <si>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</si>
  <si>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</si>
  <si>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</si>
  <si>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</si>
  <si>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</si>
  <si>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</si>
  <si>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</si>
  <si>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</si>
  <si>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</si>
  <si>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</si>
  <si>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</si>
  <si>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</si>
  <si>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</si>
  <si>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</si>
  <si>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</si>
  <si>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</si>
  <si>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</si>
  <si>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</si>
  <si>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</si>
  <si>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</si>
  <si>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</si>
  <si>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</si>
  <si>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</si>
  <si>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</si>
  <si>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</si>
  <si>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</si>
  <si>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</si>
  <si>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</si>
  <si>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</si>
  <si>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</si>
  <si>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</si>
  <si>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</si>
  <si>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</si>
  <si>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</si>
  <si>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</si>
  <si>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</si>
  <si>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</si>
  <si>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</si>
  <si>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</si>
  <si>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</si>
  <si>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</si>
  <si>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</si>
  <si>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</si>
  <si>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</si>
  <si>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</si>
  <si>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</si>
  <si>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</si>
  <si>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</si>
  <si>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</si>
  <si>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</si>
  <si>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</si>
  <si>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</si>
  <si>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</si>
  <si>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</si>
  <si>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</si>
  <si>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</si>
  <si>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</si>
  <si>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</si>
  <si>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</si>
  <si>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</si>
  <si>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</si>
  <si>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</si>
  <si>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</si>
  <si>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</si>
  <si>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</si>
  <si>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</si>
  <si>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</si>
  <si>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</si>
  <si>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</si>
  <si>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</si>
  <si>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</si>
  <si>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</si>
  <si>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</si>
  <si>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</si>
  <si>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</si>
  <si>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</si>
  <si>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</si>
  <si>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</si>
  <si>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</si>
  <si>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</si>
  <si>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</si>
  <si>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</si>
  <si>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</si>
  <si>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</si>
  <si>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</si>
  <si>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</si>
  <si>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</si>
  <si>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</si>
  <si>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</si>
  <si>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</si>
  <si>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</si>
  <si>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</si>
  <si>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</si>
  <si>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</si>
  <si>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</si>
  <si>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</si>
  <si>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</si>
  <si>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</si>
  <si>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</si>
  <si>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</si>
  <si>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</si>
  <si>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</si>
  <si>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</si>
  <si>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</si>
  <si>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</si>
  <si>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</si>
  <si>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</si>
  <si>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</si>
  <si>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</si>
  <si>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</si>
  <si>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</si>
  <si>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</si>
  <si>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</si>
  <si>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</si>
  <si>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</si>
  <si>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</si>
  <si>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</si>
  <si>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</si>
  <si>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</si>
  <si>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</si>
  <si>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</si>
  <si>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</si>
  <si>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</si>
  <si>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</si>
  <si>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</si>
  <si>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</si>
  <si>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</si>
  <si>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</si>
  <si>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</si>
  <si>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</si>
  <si>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</si>
  <si>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</si>
  <si>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</si>
  <si>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</si>
  <si>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</si>
  <si>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</si>
  <si>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</si>
  <si>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</si>
  <si>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</si>
  <si>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</si>
  <si>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</si>
  <si>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</si>
  <si>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</si>
  <si>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</si>
  <si>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</si>
  <si>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</si>
  <si>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</si>
  <si>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</si>
  <si>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</si>
  <si>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</si>
  <si>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</si>
  <si>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</si>
  <si>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</si>
  <si>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</si>
  <si>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</si>
  <si>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</si>
  <si>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</si>
  <si>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</si>
  <si>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</si>
  <si>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</si>
  <si>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</si>
  <si>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</si>
  <si>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</si>
  <si>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</si>
  <si>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</si>
  <si>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</si>
  <si>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</si>
  <si>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</si>
  <si>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</si>
  <si>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</si>
  <si>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</si>
  <si>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</si>
  <si>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</si>
  <si>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</si>
  <si>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</si>
  <si>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</si>
  <si>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</si>
  <si>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</si>
  <si>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</si>
  <si>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</si>
  <si>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</si>
  <si>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</si>
  <si>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</si>
  <si>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</si>
  <si>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</si>
  <si>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</si>
  <si>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</si>
  <si>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</si>
  <si>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</si>
  <si>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</si>
  <si>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</si>
  <si>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</si>
  <si>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</si>
  <si>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</si>
  <si>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</si>
  <si>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</si>
  <si>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</si>
  <si>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</si>
  <si>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</si>
  <si>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</si>
  <si>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</si>
  <si>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</si>
  <si>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</si>
  <si>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</si>
  <si>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</si>
  <si>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</si>
  <si>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</si>
  <si>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</si>
  <si>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</si>
  <si>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</si>
  <si>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</si>
  <si>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</si>
  <si>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</si>
  <si>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</si>
  <si>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</si>
  <si>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</si>
  <si>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</si>
  <si>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</si>
  <si>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</si>
  <si>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</si>
  <si>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</si>
  <si>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</si>
  <si>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</si>
  <si>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</si>
  <si>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</si>
  <si>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</si>
  <si>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</si>
  <si>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</si>
  <si>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</si>
  <si>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</si>
  <si>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</si>
  <si>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</si>
  <si>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</si>
  <si>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</si>
  <si>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</si>
  <si>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</si>
  <si>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</si>
  <si>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</si>
  <si>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</si>
  <si>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</si>
  <si>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</si>
  <si>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</si>
  <si>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</si>
  <si>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</si>
  <si>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</si>
  <si>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</si>
  <si>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</si>
  <si>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</si>
  <si>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</si>
  <si>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</si>
  <si>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</si>
  <si>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</si>
  <si>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</si>
  <si>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</si>
  <si>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</si>
  <si>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</si>
  <si>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</si>
  <si>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</si>
  <si>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</si>
  <si>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</si>
  <si>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</si>
  <si>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</si>
  <si>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</si>
  <si>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</si>
  <si>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</si>
  <si>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</si>
  <si>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</si>
  <si>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</si>
  <si>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</si>
  <si>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</si>
  <si>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</si>
  <si>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</si>
  <si>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</si>
  <si>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</si>
  <si>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</si>
  <si>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</si>
  <si>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</si>
  <si>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</si>
  <si>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</si>
  <si>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</si>
  <si>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</si>
  <si>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</si>
  <si>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</si>
  <si>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</si>
  <si>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</si>
  <si>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</si>
  <si>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</si>
  <si>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</si>
  <si>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</si>
  <si>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</si>
  <si>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</si>
  <si>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</si>
  <si>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</si>
  <si>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</si>
  <si>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</si>
  <si>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</si>
  <si>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</si>
  <si>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</si>
  <si>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</si>
  <si>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</si>
  <si>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</si>
  <si>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</si>
  <si>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</si>
  <si>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</si>
  <si>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</si>
  <si>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</si>
  <si>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</si>
  <si>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</si>
  <si>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</si>
  <si>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</si>
  <si>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</si>
  <si>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</si>
  <si>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</si>
  <si>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</si>
  <si>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</si>
  <si>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</si>
  <si>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</si>
  <si>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</si>
  <si>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</si>
  <si>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</si>
  <si>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</si>
  <si>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</si>
  <si>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</si>
  <si>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</si>
  <si>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</si>
  <si>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</si>
  <si>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</si>
  <si>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</si>
  <si>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</si>
  <si>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</si>
  <si>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</si>
  <si>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</si>
  <si>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</si>
  <si>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</si>
  <si>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</si>
  <si>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</si>
  <si>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</si>
  <si>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</si>
  <si>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</si>
  <si>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</si>
  <si>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</si>
  <si>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</si>
  <si>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</si>
  <si>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</si>
  <si>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</si>
  <si>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</si>
  <si>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</si>
  <si>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</si>
  <si>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</si>
  <si>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</si>
  <si>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</si>
  <si>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</si>
  <si>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</si>
  <si>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</si>
  <si>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</si>
  <si>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</si>
  <si>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</si>
  <si>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</si>
  <si>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</si>
  <si>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</si>
  <si>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</si>
  <si>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</si>
  <si>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</si>
  <si>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</si>
  <si>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</si>
  <si>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</si>
  <si>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</si>
  <si>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</si>
  <si>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</si>
  <si>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</si>
  <si>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</si>
  <si>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</si>
  <si>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</si>
  <si>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</si>
  <si>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</si>
  <si>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</si>
  <si>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</si>
  <si>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</si>
  <si>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</si>
  <si>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</si>
  <si>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</si>
  <si>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</si>
  <si>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</si>
  <si>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</si>
  <si>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</si>
  <si>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</si>
  <si>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</si>
  <si>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</si>
  <si>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</si>
  <si>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</si>
  <si>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</si>
  <si>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</si>
  <si>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</si>
  <si>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</si>
  <si>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</si>
  <si>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</si>
  <si>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</si>
  <si>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</si>
  <si>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</si>
  <si>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</si>
  <si>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</si>
  <si>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</si>
  <si>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</si>
  <si>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</si>
  <si>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</si>
  <si>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</si>
  <si>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</si>
  <si>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</si>
  <si>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</si>
  <si>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</si>
  <si>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</si>
  <si>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</si>
  <si>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</si>
  <si>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</si>
  <si>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</si>
  <si>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</si>
  <si>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</si>
  <si>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</si>
  <si>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</si>
  <si>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</si>
  <si>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</si>
  <si>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</si>
  <si>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</si>
  <si>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</si>
  <si>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</si>
  <si>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</si>
  <si>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</si>
  <si>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</si>
  <si>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</si>
  <si>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</si>
  <si>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</si>
  <si>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</si>
  <si>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</si>
  <si>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</si>
  <si>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</si>
  <si>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</si>
  <si>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</si>
  <si>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</si>
  <si>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</si>
  <si>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</si>
  <si>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</si>
  <si>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</si>
  <si>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</si>
  <si>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</si>
  <si>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</si>
  <si>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</si>
  <si>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</si>
  <si>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</si>
  <si>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</si>
  <si>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</si>
  <si>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</si>
  <si>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</si>
  <si>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</si>
  <si>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</si>
  <si>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</si>
  <si>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</si>
  <si>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</si>
  <si>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</si>
  <si>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</si>
  <si>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</si>
  <si>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</si>
  <si>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</si>
  <si>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</si>
  <si>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</si>
  <si>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</si>
  <si>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</si>
  <si>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</si>
  <si>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</si>
  <si>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</si>
  <si>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</si>
  <si>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</si>
  <si>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</si>
  <si>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</si>
  <si>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</si>
  <si>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</si>
  <si>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</si>
  <si>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</si>
  <si>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</si>
  <si>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</si>
  <si>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</si>
  <si>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</si>
  <si>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</si>
  <si>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</si>
  <si>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</si>
  <si>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</si>
  <si>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</si>
  <si>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</si>
  <si>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</si>
  <si>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</si>
  <si>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</si>
  <si>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</si>
  <si>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</si>
  <si>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</si>
  <si>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</si>
  <si>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</si>
  <si>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</si>
  <si>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</si>
  <si>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</si>
  <si>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</si>
  <si>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</si>
  <si>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</si>
  <si>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</si>
  <si>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</si>
  <si>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</si>
  <si>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</si>
  <si>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</si>
  <si>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</si>
  <si>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</si>
  <si>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</si>
  <si>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</si>
  <si>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</si>
  <si>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</si>
  <si>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</si>
  <si>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</si>
  <si>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</si>
  <si>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</si>
  <si>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</si>
  <si>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</si>
  <si>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</si>
  <si>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</si>
  <si>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</si>
  <si>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</si>
  <si>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</si>
  <si>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</si>
  <si>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</si>
  <si>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</si>
  <si>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</si>
  <si>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</si>
  <si>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</si>
  <si>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</si>
  <si>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</si>
  <si>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</si>
  <si>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</si>
  <si>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</si>
  <si>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</si>
  <si>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</si>
  <si>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</si>
  <si>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</si>
  <si>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</si>
  <si>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</si>
  <si>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</si>
  <si>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</si>
  <si>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</si>
  <si>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</si>
  <si>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</si>
  <si>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</si>
  <si>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</si>
  <si>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</si>
  <si>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</si>
  <si>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</si>
  <si>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</si>
  <si>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</si>
  <si>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</si>
  <si>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</si>
  <si>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</si>
  <si>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</si>
  <si>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</si>
  <si>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</si>
  <si>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</si>
  <si>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</si>
  <si>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</si>
  <si>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</si>
  <si>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</si>
  <si>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</si>
  <si>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</si>
  <si>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</si>
  <si>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</si>
  <si>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</si>
  <si>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</si>
  <si>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</si>
  <si>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</si>
  <si>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</si>
  <si>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</si>
  <si>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</si>
  <si>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</si>
  <si>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</si>
  <si>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</si>
  <si>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</si>
  <si>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</si>
  <si>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</si>
  <si>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</si>
  <si>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</si>
  <si>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</si>
  <si>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</si>
  <si>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</si>
  <si>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</si>
  <si>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</si>
  <si>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</si>
  <si>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</si>
  <si>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</si>
  <si>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</si>
  <si>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</si>
  <si>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</si>
  <si>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</si>
  <si>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</si>
  <si>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</si>
  <si>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</si>
  <si>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</si>
  <si>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</si>
  <si>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</si>
  <si>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</si>
  <si>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</si>
  <si>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</si>
  <si>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</si>
  <si>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</si>
  <si>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</si>
  <si>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</si>
  <si>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</si>
  <si>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</si>
  <si>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</si>
  <si>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</si>
  <si>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</si>
  <si>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</si>
  <si>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</si>
  <si>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</si>
  <si>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</si>
  <si>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</si>
  <si>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</si>
  <si>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</si>
  <si>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</si>
  <si>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</si>
  <si>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</si>
  <si>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</si>
  <si>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</si>
  <si>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</si>
  <si>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</si>
  <si>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</si>
  <si>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</si>
  <si>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</si>
  <si>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</si>
  <si>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</si>
  <si>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</si>
  <si>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</si>
  <si>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</si>
  <si>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</si>
  <si>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</si>
  <si>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</si>
  <si>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</si>
  <si>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</si>
  <si>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</si>
  <si>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</si>
  <si>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</si>
  <si>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</si>
  <si>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</si>
  <si>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</si>
  <si>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</si>
  <si>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</si>
  <si>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</si>
  <si>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</si>
  <si>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</si>
  <si>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</si>
  <si>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</si>
  <si>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</si>
  <si>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</si>
  <si>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</si>
  <si>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</si>
  <si>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</si>
  <si>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</si>
  <si>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</si>
  <si>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</si>
  <si>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</si>
  <si>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</si>
  <si>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</si>
  <si>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</si>
  <si>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</si>
  <si>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</si>
  <si>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</si>
  <si>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</si>
  <si>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</si>
  <si>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</si>
  <si>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</si>
  <si>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</si>
  <si>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</si>
  <si>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</si>
  <si>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</si>
  <si>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</si>
  <si>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</si>
  <si>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</si>
  <si>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</si>
  <si>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</si>
  <si>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</si>
  <si>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</si>
  <si>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</si>
  <si>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</si>
  <si>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</si>
  <si>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</si>
  <si>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</si>
  <si>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</si>
  <si>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</si>
  <si>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</si>
  <si>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</si>
  <si>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</si>
  <si>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</si>
  <si>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</si>
  <si>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</si>
  <si>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</si>
  <si>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</si>
  <si>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</si>
  <si>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</si>
  <si>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</si>
  <si>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</si>
  <si>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</si>
  <si>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</si>
  <si>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</si>
  <si>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</si>
  <si>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</si>
  <si>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</si>
  <si>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</si>
  <si>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</si>
  <si>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</si>
  <si>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</si>
  <si>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</si>
  <si>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</si>
  <si>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</si>
  <si>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</si>
  <si>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</si>
  <si>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</si>
  <si>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</si>
  <si>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</si>
  <si>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</si>
  <si>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</si>
  <si>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</si>
  <si>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</si>
  <si>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</si>
  <si>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</si>
  <si>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</si>
  <si>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</si>
  <si>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</si>
  <si>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</si>
  <si>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</si>
  <si>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</si>
  <si>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</si>
  <si>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</si>
  <si>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</si>
  <si>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</si>
  <si>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</si>
  <si>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</si>
  <si>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</si>
  <si>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</si>
  <si>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</si>
  <si>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</si>
  <si>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</si>
  <si>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</si>
  <si>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</si>
  <si>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</si>
  <si>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</si>
  <si>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</si>
  <si>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</si>
  <si>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</si>
  <si>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</si>
  <si>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</si>
  <si>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</si>
  <si>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</si>
  <si>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</si>
  <si>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</si>
  <si>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</si>
  <si>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</si>
  <si>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</si>
  <si>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</si>
  <si>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</si>
  <si>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</si>
  <si>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</si>
  <si>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</si>
  <si>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</si>
  <si>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</si>
  <si>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</si>
  <si>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</si>
  <si>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</si>
  <si>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</si>
  <si>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</si>
  <si>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</si>
  <si>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</si>
  <si>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</si>
  <si>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</si>
  <si>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</si>
  <si>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</si>
  <si>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</si>
  <si>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</si>
  <si>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</si>
  <si>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</si>
  <si>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</si>
  <si>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</si>
  <si>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</si>
  <si>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</si>
  <si>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</si>
  <si>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</si>
  <si>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</si>
  <si>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</si>
  <si>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</si>
  <si>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</si>
  <si>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</si>
  <si>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</si>
  <si>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</si>
  <si>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</si>
  <si>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</si>
  <si>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</si>
  <si>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</si>
  <si>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</si>
  <si>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</si>
  <si>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</si>
  <si>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</si>
  <si>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</si>
  <si>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</si>
  <si>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</si>
  <si>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</si>
  <si>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</si>
  <si>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</si>
  <si>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</si>
  <si>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</si>
  <si>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</si>
  <si>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</si>
  <si>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</si>
  <si>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</si>
  <si>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</si>
  <si>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</si>
  <si>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</si>
  <si>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</si>
  <si>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</si>
  <si>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</si>
  <si>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</si>
  <si>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</si>
  <si>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</si>
  <si>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</si>
  <si>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</si>
  <si>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</si>
  <si>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</si>
  <si>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</si>
  <si>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</si>
  <si>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</si>
  <si>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</si>
  <si>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</si>
  <si>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</si>
  <si>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</si>
  <si>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</si>
  <si>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</si>
  <si>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</si>
  <si>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</si>
  <si>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</si>
  <si>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</si>
  <si>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</si>
  <si>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</si>
  <si>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</si>
  <si>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</si>
  <si>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</si>
  <si>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</si>
  <si>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</si>
  <si>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</si>
  <si>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</si>
  <si>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</si>
  <si>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</si>
  <si>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</si>
  <si>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</si>
  <si>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</si>
  <si>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</si>
  <si>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</si>
  <si>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</si>
  <si>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</si>
  <si>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</si>
  <si>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</si>
  <si>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</si>
  <si>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</si>
  <si>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</si>
  <si>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</si>
  <si>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</si>
  <si>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</si>
  <si>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</si>
  <si>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</si>
  <si>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</si>
  <si>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</si>
  <si>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</si>
  <si>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</si>
  <si>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</si>
  <si>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</si>
  <si>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</si>
  <si>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</si>
  <si>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</si>
  <si>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</si>
  <si>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</si>
  <si>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</si>
  <si>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</si>
  <si>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</si>
  <si>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</si>
  <si>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</si>
  <si>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</si>
  <si>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</si>
  <si>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</si>
  <si>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</si>
  <si>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</si>
  <si>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</si>
  <si>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</si>
  <si>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</si>
  <si>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</si>
  <si>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</si>
  <si>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</si>
  <si>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</si>
  <si>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</si>
  <si>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</si>
  <si>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</si>
  <si>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</si>
  <si>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</si>
  <si>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</si>
  <si>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</si>
  <si>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</si>
  <si>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</si>
  <si>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</si>
  <si>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</si>
  <si>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</si>
  <si>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</si>
  <si>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</si>
  <si>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</si>
  <si>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</si>
  <si>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</si>
  <si>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</si>
  <si>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</si>
  <si>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</si>
  <si>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</si>
  <si>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</si>
  <si>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</si>
  <si>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</si>
  <si>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</si>
  <si>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</si>
  <si>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</si>
  <si>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</si>
  <si>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</si>
  <si>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</si>
  <si>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</si>
  <si>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</si>
  <si>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</si>
  <si>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</si>
  <si>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</si>
  <si>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</si>
  <si>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</si>
  <si>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</si>
  <si>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</si>
  <si>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</si>
  <si>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</si>
  <si>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</si>
  <si>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</si>
  <si>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</si>
  <si>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</si>
  <si>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</si>
  <si>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</si>
  <si>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</si>
  <si>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</si>
  <si>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</si>
  <si>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</si>
  <si>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</si>
  <si>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</si>
  <si>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</si>
  <si>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</si>
  <si>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</si>
  <si>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</si>
  <si>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</si>
  <si>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</si>
  <si>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</si>
  <si>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</si>
  <si>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</si>
  <si>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</si>
  <si>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</si>
  <si>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</si>
  <si>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</si>
  <si>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</si>
  <si>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</si>
  <si>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</si>
  <si>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</si>
  <si>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</si>
  <si>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</si>
  <si>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</si>
  <si>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</si>
  <si>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</si>
  <si>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</si>
  <si>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</si>
  <si>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</si>
  <si>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</si>
  <si>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</si>
  <si>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</si>
  <si>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</si>
  <si>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</si>
  <si>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</si>
  <si>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</si>
  <si>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</si>
  <si>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</si>
  <si>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</si>
  <si>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</si>
  <si>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</si>
  <si>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</si>
  <si>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</si>
  <si>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</si>
  <si>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</si>
  <si>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</si>
  <si>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</si>
  <si>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</si>
  <si>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</si>
  <si>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</si>
  <si>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</si>
  <si>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</si>
  <si>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</si>
  <si>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</si>
  <si>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</si>
  <si>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</si>
  <si>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</si>
  <si>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</si>
  <si>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</si>
  <si>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</si>
  <si>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</si>
  <si>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</si>
  <si>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</si>
  <si>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</si>
  <si>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</si>
  <si>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</si>
  <si>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</si>
  <si>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</si>
  <si>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</si>
  <si>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</si>
  <si>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</si>
  <si>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</si>
  <si>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</si>
  <si>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</si>
  <si>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</si>
  <si>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</si>
  <si>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</si>
  <si>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</si>
  <si>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</si>
  <si>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</si>
  <si>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</si>
  <si>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</si>
  <si>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</si>
  <si>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</si>
  <si>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</si>
  <si>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</si>
  <si>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</si>
  <si>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</si>
  <si>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</si>
  <si>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</si>
  <si>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</si>
  <si>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</si>
  <si>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</si>
  <si>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</si>
  <si>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</si>
  <si>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</si>
  <si>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</si>
  <si>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</si>
  <si>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</si>
  <si>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</si>
  <si>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</si>
  <si>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</si>
  <si>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</si>
  <si>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</si>
  <si>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</si>
  <si>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</si>
  <si>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</si>
  <si>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</si>
  <si>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</si>
  <si>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</si>
  <si>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</si>
  <si>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</si>
  <si>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</si>
  <si>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</si>
  <si>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</si>
  <si>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</si>
  <si>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</si>
  <si>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</si>
  <si>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</si>
  <si>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</si>
  <si>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</si>
  <si>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</si>
  <si>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</si>
  <si>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</si>
  <si>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</si>
  <si>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</si>
  <si>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</si>
  <si>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</si>
  <si>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</si>
  <si>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</si>
  <si>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</si>
  <si>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</si>
  <si>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</si>
  <si>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</si>
  <si>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</si>
  <si>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</si>
  <si>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</si>
  <si>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</si>
  <si>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</si>
  <si>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</si>
  <si>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</si>
  <si>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</si>
  <si>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</si>
  <si>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</si>
  <si>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</si>
  <si>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</si>
  <si>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</si>
  <si>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</si>
  <si>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</si>
  <si>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</si>
  <si>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</si>
  <si>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</si>
  <si>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</si>
  <si>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</si>
  <si>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</si>
  <si>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</si>
  <si>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</si>
  <si>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</si>
  <si>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</si>
  <si>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</si>
  <si>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</si>
  <si>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</si>
  <si>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</si>
  <si>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</si>
  <si>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</si>
  <si>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</si>
  <si>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</si>
  <si>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</si>
  <si>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</si>
  <si>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</si>
  <si>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</si>
  <si>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</si>
  <si>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</si>
  <si>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</si>
  <si>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</si>
  <si>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</si>
  <si>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</si>
  <si>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</si>
  <si>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</si>
  <si>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</si>
  <si>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</si>
  <si>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</si>
  <si>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</si>
  <si>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</si>
  <si>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</si>
  <si>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</si>
  <si>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</si>
  <si>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</si>
  <si>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</si>
  <si>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</si>
  <si>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</si>
  <si>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</si>
  <si>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</si>
  <si>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</si>
  <si>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</si>
  <si>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</si>
  <si>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</si>
  <si>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</si>
  <si>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</si>
  <si>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</si>
  <si>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</si>
  <si>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</si>
  <si>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</si>
  <si>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</si>
  <si>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</si>
  <si>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</si>
  <si>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</si>
  <si>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</si>
  <si>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</si>
  <si>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</si>
  <si>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</si>
  <si>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</si>
  <si>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</si>
  <si>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</si>
  <si>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</si>
  <si>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</si>
  <si>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</si>
  <si>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</si>
  <si>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</si>
  <si>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</si>
  <si>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</si>
  <si>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</si>
  <si>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</si>
  <si>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</si>
  <si>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</si>
  <si>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</si>
  <si>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</si>
  <si>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</si>
  <si>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</si>
  <si>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</si>
  <si>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</si>
  <si>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</si>
  <si>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</si>
  <si>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</si>
  <si>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</si>
  <si>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</si>
  <si>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</si>
  <si>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</si>
  <si>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</si>
  <si>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</si>
  <si>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</si>
  <si>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</si>
  <si>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</si>
  <si>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</si>
  <si>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</si>
  <si>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</si>
  <si>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</si>
  <si>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</si>
  <si>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</si>
  <si>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</si>
  <si>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</si>
  <si>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</si>
  <si>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</si>
  <si>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</si>
  <si>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</si>
  <si>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</si>
  <si>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</si>
  <si>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</si>
  <si>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</si>
  <si>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</si>
  <si>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</si>
  <si>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</si>
  <si>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</si>
  <si>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</si>
  <si>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</si>
  <si>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</si>
  <si>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</si>
  <si>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</si>
  <si>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</si>
  <si>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</si>
  <si>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</si>
  <si>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</si>
  <si>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</si>
  <si>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</si>
  <si>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</si>
  <si>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</si>
  <si>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</si>
  <si>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</si>
  <si>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</si>
  <si>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</si>
  <si>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</si>
  <si>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</si>
  <si>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</si>
  <si>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</si>
  <si>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</si>
  <si>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</si>
  <si>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</si>
  <si>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</si>
  <si>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</si>
  <si>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</si>
  <si>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</si>
  <si>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</si>
  <si>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</si>
  <si>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</si>
  <si>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</si>
  <si>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</si>
  <si>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</si>
  <si>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</si>
  <si>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</si>
  <si>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</si>
  <si>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</si>
  <si>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</si>
  <si>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</si>
  <si>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</si>
  <si>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</si>
  <si>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</si>
  <si>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</si>
  <si>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</si>
  <si>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</si>
  <si>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</si>
  <si>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</si>
  <si>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</si>
  <si>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</si>
  <si>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</si>
  <si>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</si>
  <si>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</si>
  <si>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</si>
  <si>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</si>
  <si>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</si>
  <si>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</si>
  <si>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</si>
  <si>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</si>
  <si>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</si>
  <si>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</si>
  <si>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</si>
  <si>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</si>
  <si>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</si>
  <si>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</si>
  <si>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</si>
  <si>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</si>
  <si>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</si>
  <si>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</si>
  <si>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</si>
  <si>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</si>
  <si>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</si>
  <si>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</si>
  <si>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</si>
  <si>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</si>
  <si>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</si>
  <si>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</si>
  <si>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</si>
  <si>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</si>
  <si>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</si>
  <si>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</si>
  <si>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</si>
  <si>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</si>
  <si>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</si>
  <si>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</si>
  <si>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</si>
  <si>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</si>
  <si>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</si>
  <si>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</si>
  <si>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</si>
  <si>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</si>
  <si>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</si>
  <si>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</si>
  <si>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</si>
  <si>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</si>
  <si>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</si>
  <si>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</si>
  <si>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</si>
  <si>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</si>
  <si>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</si>
  <si>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</si>
  <si>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</si>
  <si>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</si>
  <si>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</si>
  <si>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</si>
  <si>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</si>
  <si>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</si>
  <si>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</si>
  <si>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</si>
  <si>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</si>
  <si>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</si>
  <si>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</si>
  <si>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</si>
  <si>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</si>
  <si>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</si>
  <si>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</si>
  <si>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</si>
  <si>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</si>
  <si>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</si>
  <si>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</si>
  <si>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</si>
  <si>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</si>
  <si>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</si>
  <si>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</si>
  <si>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</si>
  <si>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</si>
  <si>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</si>
  <si>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</si>
  <si>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</si>
  <si>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</si>
  <si>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</si>
  <si>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</si>
  <si>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</si>
  <si>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</si>
  <si>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</si>
  <si>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</si>
  <si>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</si>
  <si>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</si>
  <si>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</si>
  <si>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</si>
  <si>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</si>
  <si>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</si>
  <si>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</si>
  <si>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</si>
  <si>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</si>
  <si>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</si>
  <si>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</si>
  <si>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</si>
  <si>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</si>
  <si>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</si>
  <si>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</si>
  <si>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</si>
  <si>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</si>
  <si>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</si>
  <si>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</si>
  <si>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</si>
  <si>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</si>
  <si>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</si>
  <si>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</si>
  <si>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</si>
  <si>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</si>
  <si>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</si>
  <si>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</si>
  <si>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</si>
  <si>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</si>
  <si>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</si>
  <si>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</si>
  <si>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</si>
  <si>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</si>
  <si>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</si>
  <si>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</si>
  <si>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</si>
  <si>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</si>
  <si>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</si>
  <si>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</si>
  <si>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</si>
  <si>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</si>
  <si>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</si>
  <si>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</si>
  <si>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</si>
  <si>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</si>
  <si>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</si>
  <si>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</si>
  <si>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</si>
  <si>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</si>
  <si>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</si>
  <si>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</si>
  <si>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</si>
  <si>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</si>
  <si>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</si>
  <si>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</si>
  <si>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</si>
  <si>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</si>
  <si>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</si>
  <si>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</si>
  <si>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</si>
  <si>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</si>
  <si>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</si>
  <si>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</si>
  <si>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</si>
  <si>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</si>
  <si>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</si>
  <si>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</si>
  <si>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</si>
  <si>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</si>
  <si>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</si>
  <si>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</si>
  <si>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</si>
  <si>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</si>
  <si>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</si>
  <si>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</si>
  <si>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</si>
  <si>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</si>
  <si>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</si>
  <si>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</si>
  <si>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</si>
  <si>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</si>
  <si>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</si>
  <si>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</si>
  <si>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</si>
  <si>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</si>
  <si>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</si>
  <si>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</si>
  <si>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</si>
  <si>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</si>
  <si>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</si>
  <si>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</si>
  <si>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</si>
  <si>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</si>
  <si>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</si>
  <si>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</si>
  <si>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</si>
  <si>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</si>
  <si>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</si>
  <si>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</si>
  <si>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</si>
  <si>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</si>
  <si>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</si>
  <si>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</si>
  <si>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</si>
  <si>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</si>
  <si>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</si>
  <si>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</si>
  <si>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</si>
  <si>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</si>
  <si>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</si>
  <si>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</si>
  <si>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</si>
  <si>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</si>
  <si>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</si>
  <si>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</si>
  <si>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</si>
  <si>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</si>
  <si>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</si>
  <si>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</si>
  <si>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</si>
  <si>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</si>
  <si>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</si>
  <si>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</si>
  <si>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</si>
  <si>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</si>
  <si>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</si>
  <si>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</si>
  <si>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</si>
  <si>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</si>
  <si>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</si>
  <si>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</si>
  <si>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</si>
  <si>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</si>
  <si>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</si>
  <si>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</si>
  <si>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</si>
  <si>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</si>
  <si>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</si>
  <si>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</si>
  <si>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</si>
  <si>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</si>
  <si>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</si>
  <si>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</si>
  <si>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</si>
  <si>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</si>
  <si>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</si>
  <si>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</si>
  <si>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</si>
  <si>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</si>
  <si>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</si>
  <si>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</si>
  <si>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</si>
  <si>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</si>
  <si>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</si>
  <si>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</si>
  <si>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</si>
  <si>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</si>
  <si>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</si>
  <si>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</si>
  <si>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</si>
  <si>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</si>
  <si>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</si>
  <si>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</si>
  <si>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</si>
  <si>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</si>
  <si>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</si>
  <si>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</si>
  <si>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</si>
  <si>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</si>
  <si>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</si>
  <si>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</si>
  <si>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</si>
  <si>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</si>
  <si>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</si>
  <si>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</si>
  <si>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</si>
  <si>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</si>
  <si>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</si>
  <si>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</si>
  <si>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</si>
  <si>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</si>
  <si>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</si>
  <si>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</si>
  <si>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</si>
  <si>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</si>
  <si>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</si>
  <si>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</si>
  <si>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</si>
  <si>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</si>
  <si>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</si>
  <si>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</si>
  <si>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</si>
  <si>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</si>
  <si>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</si>
  <si>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</si>
  <si>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</si>
  <si>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</si>
  <si>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</si>
  <si>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</si>
  <si>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</si>
  <si>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</si>
  <si>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</si>
  <si>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</si>
  <si>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</si>
  <si>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</si>
  <si>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</si>
  <si>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</si>
  <si>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</si>
  <si>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</si>
  <si>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</si>
  <si>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</si>
  <si>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</si>
  <si>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</si>
  <si>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</si>
  <si>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</si>
  <si>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</si>
  <si>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</si>
  <si>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</si>
  <si>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</si>
  <si>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</si>
  <si>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</si>
  <si>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</si>
  <si>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</si>
  <si>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</si>
  <si>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</si>
  <si>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</si>
  <si>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</si>
  <si>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</si>
  <si>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</si>
  <si>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</si>
  <si>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</si>
  <si>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</si>
  <si>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</si>
  <si>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</si>
  <si>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</si>
  <si>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</si>
  <si>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</si>
  <si>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</si>
  <si>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</si>
  <si>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</si>
  <si>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</si>
  <si>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</si>
  <si>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</si>
  <si>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</si>
  <si>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</si>
  <si>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</si>
  <si>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</si>
  <si>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</si>
  <si>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</si>
  <si>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</si>
  <si>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</si>
  <si>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</si>
  <si>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</si>
  <si>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</si>
  <si>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</si>
  <si>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</si>
  <si>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</si>
  <si>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</si>
  <si>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</si>
  <si>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</si>
  <si>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</si>
  <si>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</si>
  <si>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</si>
  <si>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</si>
  <si>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</si>
  <si>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</si>
  <si>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</si>
  <si>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</si>
  <si>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</si>
  <si>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</si>
  <si>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</si>
  <si>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</si>
  <si>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</si>
  <si>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</si>
  <si>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</si>
  <si>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</si>
  <si>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</si>
  <si>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</si>
  <si>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</si>
  <si>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</si>
  <si>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</si>
  <si>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</si>
  <si>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</si>
  <si>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</si>
  <si>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</si>
  <si>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</si>
  <si>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</si>
  <si>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</si>
  <si>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</si>
  <si>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</si>
  <si>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</si>
  <si>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</si>
  <si>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</si>
  <si>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</si>
  <si>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</si>
  <si>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</si>
  <si>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</si>
  <si>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</si>
  <si>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</si>
  <si>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</si>
  <si>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</si>
  <si>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</si>
  <si>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</si>
  <si>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</si>
  <si>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</si>
  <si>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</si>
  <si>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</si>
  <si>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</si>
  <si>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</si>
  <si>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</si>
  <si>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</si>
  <si>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</si>
  <si>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</si>
  <si>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</si>
  <si>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</si>
  <si>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</si>
  <si>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</si>
  <si>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</si>
  <si>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</si>
  <si>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</si>
  <si>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</si>
  <si>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</si>
  <si>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</si>
  <si>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</si>
  <si>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</si>
  <si>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</si>
  <si>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</si>
  <si>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</si>
  <si>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</si>
  <si>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</si>
  <si>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</si>
  <si>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</si>
  <si>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</si>
  <si>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</si>
  <si>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</si>
  <si>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</si>
  <si>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</si>
  <si>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</si>
  <si>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</si>
  <si>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</si>
  <si>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</si>
  <si>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</si>
  <si>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</si>
  <si>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</si>
  <si>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</si>
  <si>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</si>
  <si>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</si>
  <si>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</si>
  <si>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</si>
  <si>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</si>
  <si>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</si>
  <si>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</si>
  <si>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</si>
  <si>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</si>
  <si>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</si>
  <si>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</si>
  <si>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</si>
  <si>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</si>
  <si>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</si>
  <si>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</si>
  <si>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</si>
  <si>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</si>
  <si>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</si>
  <si>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</si>
  <si>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</si>
  <si>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</si>
  <si>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</si>
  <si>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</si>
  <si>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</si>
  <si>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</si>
  <si>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</si>
  <si>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</si>
  <si>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</si>
  <si>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</si>
  <si>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</si>
  <si>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</si>
  <si>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</si>
  <si>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</si>
  <si>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</si>
  <si>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</si>
  <si>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</si>
  <si>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</si>
  <si>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</si>
  <si>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</si>
  <si>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</si>
  <si>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</si>
  <si>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</si>
  <si>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</si>
  <si>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</si>
  <si>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</si>
  <si>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</si>
  <si>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</si>
  <si>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</si>
  <si>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</si>
  <si>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</si>
  <si>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</si>
  <si>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</si>
  <si>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</si>
  <si>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</si>
  <si>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</si>
  <si>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</si>
  <si>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</si>
  <si>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</si>
  <si>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</si>
  <si>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</si>
  <si>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</si>
  <si>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</si>
  <si>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</si>
  <si>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</si>
  <si>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</si>
  <si>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</si>
  <si>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</si>
  <si>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</si>
  <si>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</si>
  <si>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</si>
  <si>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</si>
  <si>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</si>
  <si>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</si>
  <si>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</si>
  <si>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</si>
  <si>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</si>
  <si>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</si>
  <si>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</si>
  <si>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</si>
  <si>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</si>
  <si>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</si>
  <si>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</si>
  <si>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</si>
  <si>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</si>
  <si>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</si>
  <si>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</si>
  <si>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</si>
  <si>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</si>
  <si>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</si>
  <si>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</si>
  <si>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</si>
  <si>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</si>
  <si>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</si>
  <si>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</si>
  <si>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</si>
  <si>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</si>
  <si>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</si>
  <si>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</si>
  <si>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</si>
  <si>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</si>
  <si>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</si>
  <si>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</si>
  <si>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</si>
  <si>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</si>
  <si>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</si>
  <si>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</si>
  <si>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</si>
  <si>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</si>
  <si>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</si>
  <si>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</si>
  <si>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</si>
  <si>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</si>
  <si>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</si>
  <si>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</si>
  <si>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</si>
  <si>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</si>
  <si>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</si>
  <si>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</si>
  <si>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</si>
  <si>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</si>
  <si>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</si>
  <si>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</si>
  <si>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</si>
  <si>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</si>
  <si>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</si>
  <si>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</si>
  <si>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</si>
  <si>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</si>
  <si>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</si>
  <si>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</si>
  <si>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</si>
  <si>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</si>
  <si>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</si>
  <si>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</si>
  <si>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</si>
  <si>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</si>
  <si>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</si>
  <si>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</si>
  <si>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</si>
  <si>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</si>
  <si>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</si>
  <si>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</si>
  <si>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</si>
  <si>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</si>
  <si>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</si>
  <si>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</si>
  <si>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</si>
  <si>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</si>
  <si>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</si>
  <si>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</si>
  <si>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</si>
  <si>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</si>
  <si>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</si>
  <si>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</si>
  <si>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</si>
  <si>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</si>
  <si>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</si>
  <si>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</si>
  <si>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</si>
  <si>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</si>
  <si>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</si>
  <si>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</si>
  <si>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</si>
  <si>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</si>
  <si>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</si>
  <si>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</si>
  <si>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</si>
  <si>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</si>
  <si>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</si>
  <si>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</si>
  <si>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</si>
  <si>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</si>
  <si>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</si>
  <si>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</si>
  <si>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</si>
  <si>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</si>
  <si>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</si>
  <si>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</si>
  <si>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</si>
  <si>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</si>
  <si>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</si>
  <si>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</si>
  <si>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</si>
  <si>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</si>
  <si>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</si>
  <si>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</si>
  <si>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</si>
  <si>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</si>
  <si>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</si>
  <si>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</si>
  <si>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</si>
  <si>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</si>
  <si>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</si>
  <si>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</si>
  <si>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</si>
  <si>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</si>
  <si>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</si>
  <si>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</si>
  <si>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</si>
  <si>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</si>
  <si>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</si>
  <si>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</si>
  <si>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</si>
  <si>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</si>
  <si>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</si>
  <si>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</si>
  <si>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</si>
  <si>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</si>
  <si>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</si>
  <si>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</si>
  <si>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</si>
  <si>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</si>
  <si>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</si>
  <si>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</si>
  <si>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</si>
  <si>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</si>
  <si>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</si>
  <si>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</si>
  <si>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</si>
  <si>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</si>
  <si>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</si>
  <si>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</si>
  <si>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</si>
  <si>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</si>
  <si>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</si>
  <si>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</si>
  <si>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</si>
  <si>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</si>
  <si>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</si>
  <si>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</si>
  <si>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</si>
  <si>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</si>
  <si>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</si>
  <si>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</si>
  <si>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</si>
  <si>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</si>
  <si>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</si>
  <si>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</si>
  <si>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</si>
  <si>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</si>
  <si>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</si>
  <si>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</si>
  <si>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</si>
  <si>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</si>
  <si>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</si>
  <si>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</si>
  <si>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</si>
  <si>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</si>
  <si>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</si>
  <si>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</si>
  <si>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</si>
  <si>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</si>
  <si>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</si>
  <si>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</si>
  <si>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</si>
  <si>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</si>
  <si>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</si>
  <si>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</si>
  <si>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</si>
  <si>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</si>
  <si>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</si>
  <si>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</si>
  <si>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</si>
  <si>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</si>
  <si>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</si>
  <si>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</si>
  <si>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</si>
  <si>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</si>
  <si>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</si>
  <si>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</si>
  <si>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</si>
  <si>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</si>
  <si>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</si>
  <si>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</si>
  <si>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</si>
  <si>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</si>
  <si>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</si>
  <si>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</si>
  <si>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</si>
  <si>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</si>
  <si>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</si>
  <si>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</si>
  <si>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</si>
  <si>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</si>
  <si>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</si>
  <si>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</si>
  <si>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</si>
  <si>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</si>
  <si>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</si>
  <si>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</si>
  <si>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</si>
  <si>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</si>
  <si>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</si>
  <si>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</si>
  <si>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</si>
  <si>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</si>
  <si>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</si>
  <si>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</si>
  <si>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</si>
  <si>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</si>
  <si>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</si>
  <si>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</si>
  <si>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</si>
  <si>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</si>
  <si>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</si>
  <si>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</si>
  <si>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</si>
  <si>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</si>
  <si>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</si>
  <si>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</si>
  <si>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</si>
  <si>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</si>
  <si>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</si>
  <si>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</si>
  <si>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</si>
  <si>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</si>
  <si>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</si>
  <si>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</si>
  <si>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</si>
  <si>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</si>
  <si>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</si>
  <si>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</si>
  <si>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</si>
  <si>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</si>
  <si>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</si>
  <si>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</si>
  <si>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</si>
  <si>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</si>
  <si>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</si>
  <si>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</si>
  <si>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</si>
  <si>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</si>
  <si>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</si>
  <si>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</si>
  <si>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</si>
  <si>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</si>
  <si>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</si>
  <si>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</si>
  <si>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</si>
  <si>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</si>
  <si>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</si>
  <si>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</si>
  <si>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</si>
  <si>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</si>
  <si>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</si>
  <si>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</si>
  <si>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</si>
  <si>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</si>
  <si>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</si>
  <si>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</si>
  <si>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</si>
  <si>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</si>
  <si>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</si>
  <si>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</si>
  <si>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</si>
  <si>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</si>
  <si>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</si>
  <si>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</si>
  <si>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</si>
  <si>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</si>
  <si>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</si>
  <si>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</si>
  <si>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</si>
  <si>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</si>
  <si>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</si>
  <si>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</si>
  <si>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</si>
  <si>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</si>
  <si>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</si>
  <si>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</si>
  <si>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</si>
  <si>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</si>
  <si>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</si>
  <si>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</si>
  <si>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</si>
  <si>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</si>
  <si>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</si>
  <si>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</si>
  <si>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</si>
  <si>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</si>
  <si>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</si>
  <si>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</si>
  <si>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</si>
  <si>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</si>
  <si>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</si>
  <si>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</si>
  <si>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</si>
  <si>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</si>
  <si>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</si>
  <si>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</si>
  <si>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</si>
  <si>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</si>
  <si>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</si>
  <si>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</si>
  <si>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</si>
  <si>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</si>
  <si>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</si>
  <si>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</si>
  <si>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</si>
  <si>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</si>
  <si>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</si>
  <si>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</si>
  <si>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</si>
  <si>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</si>
  <si>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</si>
  <si>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</si>
  <si>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</si>
  <si>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</si>
  <si>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</si>
  <si>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</si>
  <si>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</si>
  <si>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</si>
  <si>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</si>
  <si>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</si>
  <si>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</si>
  <si>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</si>
  <si>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</si>
  <si>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</si>
  <si>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</si>
  <si>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</si>
  <si>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</si>
  <si>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</si>
  <si>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</si>
  <si>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</si>
  <si>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</si>
  <si>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</si>
  <si>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</si>
  <si>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</si>
  <si>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</si>
  <si>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</si>
  <si>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</si>
  <si>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</si>
  <si>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</si>
  <si>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</si>
  <si>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</si>
  <si>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</si>
  <si>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</si>
  <si>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</si>
  <si>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</si>
  <si>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</si>
  <si>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</si>
  <si>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</si>
  <si>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</si>
  <si>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</si>
  <si>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</si>
  <si>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</si>
  <si>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</si>
  <si>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</si>
  <si>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</si>
  <si>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</si>
  <si>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</si>
  <si>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</si>
  <si>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</si>
  <si>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</si>
  <si>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</si>
  <si>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</si>
  <si>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</si>
  <si>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</si>
  <si>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</si>
  <si>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</si>
  <si>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</si>
  <si>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</si>
  <si>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</si>
  <si>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</si>
  <si>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</si>
  <si>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</si>
  <si>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</si>
  <si>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</si>
  <si>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</si>
  <si>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</si>
  <si>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</si>
  <si>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</si>
  <si>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</si>
  <si>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</si>
  <si>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</si>
  <si>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</si>
  <si>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</si>
  <si>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</si>
  <si>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</si>
  <si>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</si>
  <si>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</si>
  <si>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</si>
  <si>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</si>
  <si>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</si>
  <si>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</si>
  <si>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</si>
  <si>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</si>
  <si>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</si>
  <si>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</si>
  <si>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</si>
  <si>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</si>
  <si>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</si>
  <si>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</si>
  <si>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</si>
  <si>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</si>
  <si>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</si>
  <si>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</si>
  <si>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</si>
  <si>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</si>
  <si>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</si>
  <si>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</si>
  <si>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</si>
  <si>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</si>
  <si>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</si>
  <si>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</si>
  <si>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</si>
  <si>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</si>
  <si>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</si>
  <si>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</si>
  <si>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</si>
  <si>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</si>
  <si>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</si>
  <si>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</si>
  <si>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</si>
  <si>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</si>
  <si>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</si>
  <si>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</si>
  <si>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</si>
  <si>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</si>
  <si>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</si>
  <si>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</si>
  <si>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</si>
  <si>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</si>
  <si>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</si>
  <si>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</si>
  <si>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</si>
  <si>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</si>
  <si>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</si>
  <si>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</si>
  <si>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</si>
  <si>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</si>
  <si>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</si>
  <si>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</si>
  <si>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</si>
  <si>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</si>
  <si>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</si>
  <si>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</si>
  <si>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</si>
  <si>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</si>
  <si>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</si>
  <si>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</si>
  <si>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</si>
  <si>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</si>
  <si>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</si>
  <si>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</si>
  <si>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</si>
  <si>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</si>
  <si>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</si>
  <si>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</si>
  <si>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</si>
  <si>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</si>
  <si>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</si>
  <si>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</si>
  <si>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</si>
  <si>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</si>
  <si>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</si>
  <si>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</si>
  <si>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</si>
  <si>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</si>
  <si>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</si>
  <si>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</si>
  <si>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</si>
  <si>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</si>
  <si>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</si>
  <si>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</si>
  <si>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</si>
  <si>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</si>
  <si>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</si>
  <si>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</si>
  <si>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</si>
  <si>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</si>
  <si>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</si>
  <si>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</si>
  <si>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</si>
  <si>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</si>
  <si>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</si>
  <si>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</si>
  <si>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</si>
  <si>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</si>
  <si>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</si>
  <si>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</si>
  <si>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</si>
  <si>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</si>
  <si>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</si>
  <si>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</si>
  <si>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</si>
  <si>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</si>
  <si>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</si>
  <si>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</si>
  <si>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</si>
  <si>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</si>
  <si>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</si>
  <si>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</si>
  <si>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</si>
  <si>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</si>
  <si>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</si>
  <si>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</si>
  <si>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</si>
  <si>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</si>
  <si>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</si>
  <si>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</si>
  <si>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</si>
  <si>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</si>
  <si>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</si>
  <si>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</si>
  <si>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</si>
  <si>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</si>
  <si>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</si>
  <si>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</si>
  <si>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</si>
  <si>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</si>
  <si>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</si>
  <si>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</si>
  <si>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</si>
  <si>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</si>
  <si>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</si>
  <si>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</si>
  <si>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</si>
  <si>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</si>
  <si>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</si>
  <si>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</si>
  <si>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</si>
  <si>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</si>
  <si>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</si>
  <si>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</si>
  <si>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</si>
  <si>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</si>
  <si>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</si>
  <si>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</si>
  <si>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</si>
  <si>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</si>
  <si>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</si>
  <si>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</si>
  <si>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</si>
  <si>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</si>
  <si>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</si>
  <si>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</si>
  <si>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</si>
  <si>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</si>
  <si>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</si>
  <si>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</si>
  <si>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</si>
  <si>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</si>
  <si>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</si>
  <si>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</si>
  <si>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</si>
  <si>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</si>
  <si>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</si>
  <si>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</si>
  <si>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</si>
  <si>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</si>
  <si>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</si>
  <si>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</si>
  <si>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</si>
  <si>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</si>
  <si>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</si>
  <si>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</si>
  <si>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</si>
  <si>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</si>
  <si>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</si>
  <si>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</si>
  <si>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</si>
  <si>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</si>
  <si>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</si>
  <si>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</si>
  <si>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</si>
  <si>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</si>
  <si>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</si>
  <si>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</si>
  <si>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</si>
  <si>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</si>
  <si>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</si>
  <si>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</si>
  <si>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</si>
  <si>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</si>
  <si>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</si>
  <si>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</si>
  <si>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</si>
  <si>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</si>
  <si>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</si>
  <si>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</si>
  <si>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</si>
  <si>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</si>
  <si>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</si>
  <si>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</si>
  <si>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</si>
  <si>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</si>
  <si>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</si>
  <si>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</si>
  <si>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</si>
  <si>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</si>
  <si>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</si>
  <si>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</si>
  <si>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</si>
  <si>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</si>
  <si>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</si>
  <si>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</si>
  <si>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</si>
  <si>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</si>
  <si>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</si>
  <si>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</si>
  <si>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</si>
  <si>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</si>
  <si>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</si>
  <si>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</si>
  <si>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</si>
  <si>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</si>
  <si>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</si>
  <si>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</si>
  <si>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</si>
  <si>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</si>
  <si>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</si>
  <si>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</si>
  <si>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</si>
  <si>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</si>
  <si>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</si>
  <si>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</si>
  <si>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</si>
  <si>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</si>
  <si>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</si>
  <si>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</si>
  <si>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</si>
  <si>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</si>
  <si>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</si>
  <si>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</si>
  <si>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</si>
  <si>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</si>
  <si>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</si>
  <si>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</si>
  <si>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</si>
  <si>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</si>
  <si>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</si>
  <si>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</si>
  <si>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</si>
  <si>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</si>
  <si>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</si>
  <si>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</si>
  <si>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</si>
  <si>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</si>
  <si>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</si>
  <si>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</si>
  <si>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</si>
  <si>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</si>
  <si>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</si>
  <si>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</si>
  <si>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</si>
  <si>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</si>
  <si>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</si>
  <si>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</si>
  <si>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</si>
  <si>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</si>
  <si>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</si>
  <si>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</si>
  <si>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</si>
  <si>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</si>
  <si>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</si>
  <si>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</si>
  <si>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</si>
  <si>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</si>
  <si>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</si>
  <si>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</si>
  <si>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</si>
  <si>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</si>
  <si>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</si>
  <si>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</si>
  <si>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</si>
  <si>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</si>
  <si>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</si>
  <si>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</si>
  <si>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</si>
  <si>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</si>
  <si>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</si>
  <si>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</si>
  <si>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</si>
  <si>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</si>
  <si>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</si>
  <si>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</si>
  <si>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</si>
  <si>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</si>
  <si>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</si>
  <si>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</si>
  <si>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</si>
  <si>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</si>
  <si>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</si>
  <si>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</si>
  <si>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</si>
  <si>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</si>
  <si>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</si>
  <si>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</si>
  <si>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</si>
  <si>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</si>
  <si>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</si>
  <si>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</si>
  <si>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</si>
  <si>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</si>
  <si>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</si>
  <si>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</si>
  <si>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</si>
  <si>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</si>
  <si>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</si>
  <si>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</si>
  <si>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</si>
  <si>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</si>
  <si>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</si>
  <si>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</si>
  <si>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</si>
  <si>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</si>
  <si>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</si>
  <si>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</si>
  <si>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</si>
  <si>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</si>
  <si>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</si>
  <si>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</si>
  <si>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</si>
  <si>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</si>
  <si>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</si>
  <si>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</si>
  <si>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</si>
  <si>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</si>
  <si>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</si>
  <si>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</si>
  <si>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</si>
  <si>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</si>
  <si>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</si>
  <si>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</si>
  <si>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</si>
  <si>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</si>
  <si>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</si>
  <si>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</si>
  <si>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</si>
  <si>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</si>
  <si>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</si>
  <si>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</si>
  <si>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</si>
  <si>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</si>
  <si>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</si>
  <si>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</si>
  <si>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</si>
  <si>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</si>
  <si>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</si>
  <si>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</si>
  <si>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</si>
  <si>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</si>
  <si>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</si>
  <si>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</si>
  <si>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</si>
  <si>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</si>
  <si>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</si>
  <si>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</si>
  <si>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</si>
  <si>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</si>
  <si>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</si>
  <si>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</si>
  <si>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</si>
  <si>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</si>
  <si>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</si>
  <si>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</si>
  <si>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</si>
  <si>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</si>
  <si>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</si>
  <si>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</si>
  <si>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</si>
  <si>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</si>
  <si>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</si>
  <si>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</si>
  <si>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</si>
  <si>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</si>
  <si>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</si>
  <si>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</si>
  <si>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</si>
  <si>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</si>
  <si>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</si>
  <si>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</si>
  <si>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</si>
  <si>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</si>
  <si>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</si>
  <si>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</si>
  <si>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</si>
  <si>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</si>
  <si>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</si>
  <si>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</si>
  <si>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</si>
  <si>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</si>
  <si>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</si>
  <si>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</si>
  <si>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</si>
  <si>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</si>
  <si>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</si>
  <si>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</si>
  <si>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</si>
  <si>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</si>
  <si>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</si>
  <si>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</si>
  <si>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</si>
  <si>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</si>
  <si>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</si>
  <si>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</si>
  <si>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</si>
  <si>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</si>
  <si>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</si>
  <si>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</si>
  <si>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</si>
  <si>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</si>
  <si>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</si>
  <si>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</si>
  <si>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</si>
  <si>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</si>
  <si>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</si>
  <si>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</si>
  <si>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</si>
  <si>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</si>
  <si>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</si>
  <si>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</si>
  <si>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</si>
  <si>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</si>
  <si>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</si>
  <si>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</si>
  <si>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</si>
  <si>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</si>
  <si>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</si>
  <si>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</si>
  <si>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</si>
  <si>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</si>
  <si>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</si>
  <si>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</si>
  <si>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</si>
  <si>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</si>
  <si>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</si>
  <si>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</si>
  <si>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</si>
  <si>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</si>
  <si>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</si>
  <si>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</si>
  <si>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</si>
  <si>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</si>
  <si>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</si>
  <si>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</si>
  <si>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</si>
  <si>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</si>
  <si>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</si>
  <si>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</si>
  <si>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</si>
  <si>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</si>
  <si>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</si>
  <si>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</si>
  <si>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</si>
  <si>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</si>
  <si>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</si>
  <si>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</si>
  <si>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</si>
  <si>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</si>
  <si>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</si>
  <si>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</si>
  <si>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</si>
  <si>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</si>
  <si>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</si>
  <si>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</si>
  <si>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</si>
  <si>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</si>
  <si>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</si>
  <si>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</si>
  <si>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</si>
  <si>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</si>
  <si>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</si>
  <si>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</si>
  <si>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</si>
  <si>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</si>
  <si>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</si>
  <si>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</si>
  <si>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</si>
  <si>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</si>
  <si>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</si>
  <si>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</si>
  <si>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</si>
  <si>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</si>
  <si>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</si>
  <si>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</si>
  <si>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</si>
  <si>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</si>
  <si>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</si>
  <si>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</si>
  <si>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</si>
  <si>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</si>
  <si>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</si>
  <si>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</si>
  <si>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</si>
  <si>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</si>
  <si>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</si>
  <si>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</si>
  <si>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</si>
  <si>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</si>
  <si>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</si>
  <si>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</si>
  <si>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</si>
  <si>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</si>
  <si>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</si>
  <si>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</si>
  <si>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</si>
  <si>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</si>
  <si>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</si>
  <si>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</si>
  <si>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</si>
  <si>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</si>
  <si>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</si>
  <si>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</si>
  <si>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</si>
  <si>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</si>
  <si>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</si>
  <si>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</si>
  <si>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</si>
  <si>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</si>
  <si>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</si>
  <si>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</si>
  <si>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</si>
  <si>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</si>
  <si>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</si>
  <si>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</si>
  <si>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</si>
  <si>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</si>
  <si>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</si>
  <si>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</si>
  <si>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</si>
  <si>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</si>
  <si>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</si>
  <si>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</si>
  <si>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</si>
  <si>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</si>
  <si>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</si>
  <si>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</si>
  <si>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</si>
  <si>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</si>
  <si>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</si>
  <si>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</si>
  <si>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</si>
  <si>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</si>
  <si>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</si>
  <si>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</si>
  <si>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</si>
  <si>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</si>
  <si>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</si>
  <si>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</si>
  <si>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</si>
  <si>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</si>
  <si>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</si>
  <si>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</si>
  <si>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</si>
  <si>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</si>
  <si>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</si>
  <si>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</si>
  <si>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</si>
  <si>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</si>
  <si>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</si>
  <si>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</si>
  <si>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</si>
  <si>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</si>
  <si>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</si>
  <si>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</si>
  <si>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</si>
  <si>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</si>
  <si>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</si>
  <si>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</si>
  <si>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</si>
  <si>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</si>
  <si>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</si>
  <si>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</si>
  <si>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</si>
  <si>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</si>
  <si>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</si>
  <si>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</si>
  <si>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</si>
  <si>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</si>
  <si>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</si>
  <si>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</si>
  <si>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</si>
  <si>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</si>
  <si>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</si>
  <si>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</si>
  <si>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</si>
  <si>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</si>
  <si>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</si>
  <si>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</si>
  <si>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</si>
  <si>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</si>
  <si>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</si>
  <si>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</si>
  <si>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</si>
  <si>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</si>
  <si>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</si>
  <si>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</si>
  <si>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</si>
  <si>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</si>
  <si>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</si>
  <si>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</si>
  <si>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</si>
  <si>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</si>
  <si>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</si>
  <si>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</si>
  <si>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</si>
  <si>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</si>
  <si>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</si>
  <si>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</si>
  <si>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</si>
  <si>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</si>
  <si>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</si>
  <si>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</si>
  <si>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</si>
  <si>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</si>
  <si>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</si>
  <si>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</si>
  <si>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</si>
  <si>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</si>
  <si>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</si>
  <si>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</si>
  <si>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</si>
  <si>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</si>
  <si>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</si>
  <si>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</si>
  <si>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</si>
  <si>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</si>
  <si>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</si>
  <si>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</si>
  <si>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</si>
  <si>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</si>
  <si>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</si>
  <si>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</si>
  <si>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</si>
  <si>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</si>
  <si>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</si>
  <si>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</si>
  <si>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</si>
  <si>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</si>
  <si>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</si>
  <si>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</si>
  <si>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</si>
  <si>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</si>
  <si>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</si>
  <si>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</si>
  <si>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</si>
  <si>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</si>
  <si>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</si>
  <si>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</si>
  <si>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</si>
  <si>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</si>
  <si>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</si>
  <si>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</si>
  <si>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</si>
  <si>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</si>
  <si>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</si>
  <si>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</si>
  <si>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</si>
  <si>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</si>
  <si>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</si>
  <si>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</si>
  <si>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</si>
  <si>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</si>
  <si>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</si>
  <si>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</si>
  <si>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</si>
  <si>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</si>
  <si>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</si>
  <si>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</si>
  <si>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</si>
  <si>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</si>
  <si>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</si>
  <si>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</si>
  <si>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</si>
  <si>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</si>
  <si>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</si>
  <si>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</si>
  <si>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</si>
  <si>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</si>
  <si>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</si>
  <si>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</si>
  <si>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</si>
  <si>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</si>
  <si>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</si>
  <si>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</si>
  <si>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</si>
  <si>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</si>
  <si>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</si>
  <si>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</si>
  <si>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</si>
  <si>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</si>
  <si>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</si>
  <si>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</si>
  <si>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</si>
  <si>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</si>
  <si>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</si>
  <si>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</si>
  <si>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</si>
  <si>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</si>
  <si>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</si>
  <si>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</si>
  <si>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</si>
  <si>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</si>
  <si>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</si>
  <si>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</si>
  <si>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</si>
  <si>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</si>
  <si>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</si>
  <si>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</si>
  <si>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</si>
  <si>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</si>
  <si>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</si>
  <si>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</si>
  <si>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</si>
  <si>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</si>
  <si>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</si>
  <si>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</si>
  <si>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</si>
  <si>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</si>
  <si>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</si>
  <si>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</si>
  <si>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</si>
  <si>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</si>
  <si>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</si>
  <si>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</si>
  <si>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</si>
  <si>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</si>
  <si>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</si>
  <si>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</si>
  <si>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</si>
  <si>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</si>
  <si>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</si>
  <si>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</si>
  <si>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</si>
  <si>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</si>
  <si>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</si>
  <si>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</si>
  <si>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</si>
  <si>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</si>
  <si>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</si>
  <si>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</si>
  <si>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</si>
  <si>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</si>
  <si>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</si>
  <si>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</si>
  <si>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</si>
  <si>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</si>
  <si>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</si>
  <si>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</si>
  <si>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</si>
  <si>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</si>
  <si>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</si>
  <si>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</si>
  <si>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</si>
  <si>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</si>
  <si>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</si>
  <si>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</si>
  <si>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</si>
  <si>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</si>
  <si>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</si>
  <si>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</si>
  <si>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</si>
  <si>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</si>
  <si>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</si>
  <si>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</si>
  <si>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</si>
  <si>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</si>
  <si>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</si>
  <si>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</si>
  <si>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</si>
  <si>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</si>
  <si>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</si>
  <si>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</si>
  <si>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</si>
  <si>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</si>
  <si>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</si>
  <si>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</si>
  <si>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</si>
  <si>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</si>
  <si>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</si>
  <si>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</si>
  <si>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</si>
  <si>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</si>
  <si>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</si>
  <si>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</si>
  <si>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</si>
  <si>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</si>
  <si>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</si>
  <si>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</si>
  <si>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</si>
  <si>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</si>
  <si>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</si>
  <si>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</si>
  <si>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</si>
  <si>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</si>
  <si>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</si>
  <si>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</si>
  <si>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</si>
  <si>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</si>
  <si>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</si>
  <si>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</si>
  <si>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</si>
  <si>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</si>
  <si>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</si>
  <si>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</si>
  <si>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</si>
  <si>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</si>
  <si>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</si>
  <si>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</si>
  <si>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</si>
  <si>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</si>
  <si>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</si>
  <si>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</si>
  <si>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</si>
  <si>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</si>
  <si>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</si>
  <si>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</si>
  <si>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</si>
  <si>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</si>
  <si>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</si>
  <si>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</si>
  <si>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</si>
  <si>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</si>
  <si>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</si>
  <si>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</si>
  <si>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</si>
  <si>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</si>
  <si>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</si>
  <si>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</si>
  <si>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</si>
  <si>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</si>
  <si>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</si>
  <si>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</si>
  <si>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</si>
  <si>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</si>
  <si>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</si>
  <si>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</si>
  <si>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</si>
  <si>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</si>
  <si>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</si>
  <si>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</si>
  <si>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</si>
  <si>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</si>
  <si>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</si>
  <si>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</si>
  <si>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</si>
  <si>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</si>
  <si>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</si>
  <si>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</si>
  <si>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</si>
  <si>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</si>
  <si>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</si>
  <si>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</si>
  <si>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</si>
  <si>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</si>
  <si>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</si>
  <si>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</si>
  <si>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</si>
  <si>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</si>
  <si>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</si>
  <si>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</si>
  <si>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</si>
  <si>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</si>
  <si>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</si>
  <si>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</si>
  <si>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</si>
  <si>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</si>
  <si>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</si>
  <si>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</si>
  <si>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</si>
  <si>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</si>
  <si>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</si>
  <si>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</si>
  <si>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</si>
  <si>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</si>
  <si>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</si>
  <si>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</si>
  <si>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</si>
  <si>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</si>
  <si>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</si>
  <si>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</si>
  <si>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</si>
  <si>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</si>
  <si>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</si>
  <si>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</si>
  <si>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</si>
  <si>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</si>
  <si>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</si>
  <si>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</si>
  <si>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</si>
  <si>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</si>
  <si>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</si>
  <si>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</si>
  <si>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</si>
  <si>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</si>
  <si>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</si>
  <si>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</si>
  <si>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</si>
  <si>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</si>
  <si>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</si>
  <si>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</si>
  <si>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</si>
  <si>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</si>
  <si>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</si>
  <si>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</si>
  <si>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</si>
  <si>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</si>
  <si>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</si>
  <si>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</si>
  <si>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</si>
  <si>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</si>
  <si>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</si>
  <si>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</si>
  <si>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</si>
  <si>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</si>
  <si>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</si>
  <si>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</si>
  <si>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</si>
  <si>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</si>
  <si>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</si>
  <si>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</si>
  <si>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</si>
  <si>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</si>
  <si>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</si>
  <si>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</si>
  <si>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</si>
  <si>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</si>
  <si>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</si>
  <si>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</si>
  <si>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</si>
  <si>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</si>
  <si>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</si>
  <si>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</si>
  <si>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</si>
  <si>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</si>
  <si>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</si>
  <si>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</si>
  <si>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</si>
  <si>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</si>
  <si>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</si>
  <si>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</si>
  <si>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</si>
  <si>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</si>
  <si>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</si>
  <si>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</si>
  <si>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</si>
  <si>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</si>
  <si>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</si>
  <si>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</si>
  <si>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</si>
  <si>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</si>
  <si>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</si>
  <si>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</si>
  <si>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</si>
  <si>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</si>
  <si>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</si>
  <si>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</si>
  <si>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</si>
  <si>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</si>
  <si>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</si>
  <si>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</si>
  <si>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</si>
  <si>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</si>
  <si>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</si>
  <si>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</si>
  <si>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</si>
  <si>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</si>
  <si>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</si>
  <si>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</si>
  <si>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</si>
  <si>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</si>
  <si>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</si>
  <si>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</si>
  <si>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</si>
  <si>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</si>
  <si>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</si>
  <si>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</si>
  <si>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</si>
  <si>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</si>
  <si>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</si>
  <si>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</si>
  <si>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</si>
  <si>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</si>
  <si>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</si>
  <si>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</si>
  <si>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</si>
  <si>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</si>
  <si>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</si>
  <si>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</si>
  <si>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</si>
  <si>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</si>
  <si>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</si>
  <si>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</si>
  <si>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</si>
  <si>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</si>
  <si>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</si>
  <si>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</si>
  <si>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</si>
  <si>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</si>
  <si>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</si>
  <si>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</si>
  <si>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</si>
  <si>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</si>
  <si>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</si>
  <si>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</si>
  <si>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</si>
  <si>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</si>
  <si>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</si>
  <si>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</si>
  <si>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</si>
  <si>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</si>
  <si>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</si>
  <si>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</si>
  <si>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</si>
  <si>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</si>
  <si>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</si>
  <si>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</si>
  <si>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</si>
  <si>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</si>
  <si>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</si>
  <si>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</si>
  <si>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</si>
  <si>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</si>
  <si>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</si>
  <si>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</si>
  <si>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</si>
  <si>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</si>
  <si>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</si>
  <si>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</si>
  <si>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</si>
  <si>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</si>
  <si>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</si>
  <si>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</si>
  <si>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</si>
  <si>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</si>
  <si>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</si>
  <si>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</si>
  <si>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</si>
  <si>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</si>
  <si>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</si>
  <si>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</si>
  <si>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</si>
  <si>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</si>
  <si>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</si>
  <si>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</si>
  <si>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</si>
  <si>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</si>
  <si>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</si>
  <si>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</si>
  <si>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</si>
  <si>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</si>
  <si>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</si>
  <si>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</si>
  <si>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</si>
  <si>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</si>
  <si>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</si>
  <si>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</si>
  <si>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</si>
  <si>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</si>
  <si>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</si>
  <si>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</si>
  <si>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</si>
  <si>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</si>
  <si>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</si>
  <si>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</si>
  <si>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</si>
  <si>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</si>
  <si>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</si>
  <si>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</si>
  <si>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</si>
  <si>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</si>
  <si>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</si>
  <si>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</si>
  <si>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</si>
  <si>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</si>
  <si>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</si>
  <si>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</si>
  <si>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</si>
  <si>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</si>
  <si>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</si>
  <si>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</si>
  <si>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</si>
  <si>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</si>
  <si>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</si>
  <si>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</si>
  <si>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</si>
  <si>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</si>
  <si>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</si>
  <si>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</si>
  <si>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</si>
  <si>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</si>
  <si>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</si>
  <si>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</si>
  <si>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</si>
  <si>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</si>
  <si>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</si>
  <si>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</si>
  <si>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</si>
  <si>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</si>
  <si>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</si>
  <si>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</si>
  <si>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</si>
  <si>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</si>
  <si>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</si>
  <si>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</si>
  <si>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</si>
  <si>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</si>
  <si>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</si>
  <si>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</si>
  <si>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</si>
  <si>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</si>
  <si>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</si>
  <si>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</si>
  <si>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</si>
  <si>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</si>
  <si>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</si>
  <si>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</si>
  <si>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</si>
  <si>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</si>
  <si>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</si>
  <si>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</si>
  <si>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</si>
  <si>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</si>
  <si>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</si>
  <si>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</si>
  <si>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</si>
  <si>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</si>
  <si>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</si>
  <si>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</si>
  <si>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</si>
  <si>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</si>
  <si>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</si>
  <si>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</si>
  <si>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</si>
  <si>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</si>
  <si>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</si>
  <si>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</si>
  <si>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</si>
  <si>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</si>
  <si>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</si>
  <si>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</si>
  <si>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</si>
  <si>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</si>
  <si>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</si>
  <si>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</si>
  <si>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</si>
  <si>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</si>
  <si>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</si>
  <si>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</si>
  <si>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</si>
  <si>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</si>
  <si>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</si>
  <si>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</si>
  <si>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</si>
  <si>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</si>
  <si>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</si>
  <si>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</si>
  <si>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</si>
  <si>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</si>
  <si>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</si>
  <si>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</si>
  <si>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</si>
  <si>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</si>
  <si>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</si>
  <si>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</si>
  <si>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</si>
  <si>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</si>
  <si>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</si>
  <si>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</si>
  <si>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</si>
  <si>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</si>
  <si>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</si>
  <si>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</si>
  <si>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</si>
  <si>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</si>
  <si>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</si>
  <si>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</si>
  <si>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</si>
  <si>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</si>
  <si>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</si>
  <si>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</si>
  <si>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</si>
  <si>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</si>
  <si>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</si>
  <si>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</si>
  <si>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</si>
  <si>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</si>
  <si>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</si>
  <si>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</si>
  <si>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</si>
  <si>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</si>
  <si>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</si>
  <si>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</si>
  <si>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</si>
  <si>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</si>
  <si>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</si>
  <si>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</si>
  <si>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</si>
  <si>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</si>
  <si>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</si>
  <si>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</si>
  <si>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</si>
  <si>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</si>
  <si>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</si>
  <si>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</si>
  <si>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</si>
  <si>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</si>
  <si>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</si>
  <si>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</si>
  <si>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</si>
  <si>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</si>
  <si>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</si>
  <si>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</si>
  <si>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</si>
  <si>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</si>
  <si>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</si>
  <si>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</si>
  <si>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</si>
  <si>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</si>
  <si>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</si>
  <si>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</si>
  <si>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</si>
  <si>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</si>
  <si>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</si>
  <si>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</si>
  <si>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</si>
  <si>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</si>
  <si>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</si>
  <si>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</si>
  <si>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</si>
  <si>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</si>
  <si>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</si>
  <si>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</si>
  <si>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</si>
  <si>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</si>
  <si>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</si>
  <si>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</si>
  <si>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</si>
  <si>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</si>
  <si>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</si>
  <si>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</si>
  <si>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</si>
  <si>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</si>
  <si>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</si>
  <si>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</si>
  <si>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</si>
  <si>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</si>
  <si>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</si>
  <si>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</si>
  <si>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</si>
  <si>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</si>
  <si>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</si>
  <si>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</si>
  <si>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</si>
  <si>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</si>
  <si>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</si>
  <si>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</si>
  <si>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</si>
  <si>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</si>
  <si>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</si>
  <si>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</si>
  <si>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</si>
  <si>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</si>
  <si>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</si>
  <si>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</si>
  <si>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</si>
  <si>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</si>
  <si>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</si>
  <si>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</si>
  <si>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</si>
  <si>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</si>
  <si>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</si>
  <si>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</si>
  <si>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</si>
  <si>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</si>
  <si>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</si>
  <si>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</si>
  <si>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</si>
  <si>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</si>
  <si>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</si>
  <si>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</si>
  <si>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</si>
  <si>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</si>
  <si>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</si>
  <si>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</si>
  <si>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</si>
  <si>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</si>
  <si>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</si>
  <si>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</si>
  <si>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</si>
  <si>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</si>
  <si>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</si>
  <si>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</si>
  <si>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</si>
  <si>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</si>
  <si>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</si>
  <si>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</si>
  <si>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</si>
  <si>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</si>
  <si>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</si>
  <si>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</si>
  <si>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</si>
  <si>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</si>
  <si>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</si>
  <si>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</si>
  <si>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</si>
  <si>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</si>
  <si>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</si>
  <si>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</si>
  <si>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</si>
  <si>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</si>
  <si>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</si>
  <si>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</si>
  <si>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</si>
  <si>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</si>
  <si>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</si>
  <si>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</si>
  <si>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</si>
  <si>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</si>
  <si>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</si>
  <si>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</si>
  <si>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</si>
  <si>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</si>
  <si>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</si>
  <si>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</si>
  <si>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</si>
  <si>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</si>
  <si>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</si>
  <si>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</si>
  <si>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</si>
  <si>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</si>
  <si>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</si>
  <si>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</si>
  <si>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</si>
  <si>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</si>
  <si>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</si>
  <si>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</si>
  <si>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</si>
  <si>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</si>
  <si>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</si>
  <si>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</si>
  <si>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</si>
  <si>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</si>
  <si>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</si>
  <si>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</si>
  <si>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</si>
  <si>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</si>
  <si>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</si>
  <si>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</si>
  <si>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</si>
  <si>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</si>
  <si>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</si>
  <si>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</si>
  <si>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</si>
  <si>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</si>
  <si>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</si>
  <si>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</si>
  <si>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</si>
  <si>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</si>
  <si>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</si>
  <si>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</si>
  <si>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</si>
  <si>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</si>
  <si>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</si>
  <si>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</si>
  <si>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</si>
  <si>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</si>
  <si>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</si>
  <si>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</si>
  <si>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</si>
  <si>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</si>
  <si>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</si>
  <si>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</si>
  <si>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</si>
  <si>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</si>
  <si>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</si>
  <si>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</si>
  <si>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</si>
  <si>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</si>
  <si>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</si>
  <si>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</si>
  <si>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</si>
  <si>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</si>
  <si>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</si>
  <si>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</si>
  <si>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</si>
  <si>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</si>
  <si>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</si>
  <si>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</si>
  <si>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</si>
  <si>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</si>
  <si>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</si>
  <si>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</si>
  <si>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</si>
  <si>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</si>
  <si>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</si>
  <si>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</si>
  <si>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</si>
  <si>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</si>
  <si>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</si>
  <si>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</si>
  <si>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</si>
  <si>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</si>
  <si>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</si>
  <si>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</si>
  <si>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</si>
  <si>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</si>
  <si>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</si>
  <si>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</si>
  <si>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</si>
  <si>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</si>
  <si>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</si>
  <si>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</si>
  <si>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</si>
  <si>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</si>
  <si>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</si>
  <si>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</si>
  <si>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</si>
  <si>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</si>
  <si>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</si>
  <si>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</si>
  <si>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</si>
  <si>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</si>
  <si>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</si>
  <si>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</si>
  <si>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</si>
  <si>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</si>
  <si>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</si>
  <si>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</si>
  <si>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</si>
  <si>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</si>
  <si>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</si>
  <si>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</si>
  <si>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</si>
  <si>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</si>
  <si>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</si>
  <si>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</si>
  <si>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</si>
  <si>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</si>
  <si>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</si>
  <si>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</si>
  <si>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</si>
  <si>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</si>
  <si>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</si>
  <si>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</si>
  <si>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</si>
  <si>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</si>
  <si>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</si>
  <si>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</si>
  <si>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</si>
  <si>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</si>
  <si>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</si>
  <si>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</si>
  <si>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</si>
  <si>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</si>
  <si>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</si>
  <si>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</si>
  <si>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</si>
  <si>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</si>
  <si>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</si>
  <si>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</si>
  <si>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</si>
  <si>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</si>
  <si>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</si>
  <si>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</si>
  <si>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</si>
  <si>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</si>
  <si>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</si>
  <si>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</si>
  <si>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</si>
  <si>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</si>
  <si>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</si>
  <si>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</si>
  <si>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</si>
  <si>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</si>
  <si>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</si>
  <si>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</si>
  <si>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</si>
  <si>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</si>
  <si>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</si>
  <si>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</si>
  <si>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</si>
  <si>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</si>
  <si>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</si>
  <si>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</si>
  <si>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</si>
  <si>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</si>
  <si>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</si>
  <si>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</si>
  <si>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</si>
  <si>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</si>
  <si>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</si>
  <si>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</si>
  <si>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</si>
  <si>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</si>
  <si>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</si>
  <si>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</si>
  <si>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</si>
  <si>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</si>
  <si>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</si>
  <si>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</si>
  <si>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</si>
  <si>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</si>
  <si>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</si>
  <si>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</si>
  <si>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</si>
  <si>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</si>
  <si>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</si>
  <si>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</si>
  <si>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</si>
  <si>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</si>
  <si>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</si>
  <si>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</si>
  <si>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</si>
  <si>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</si>
  <si>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</si>
  <si>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</si>
  <si>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</si>
  <si>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</si>
  <si>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</si>
  <si>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</si>
  <si>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</si>
  <si>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</si>
  <si>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</si>
  <si>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</si>
  <si>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</si>
  <si>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</si>
  <si>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</si>
  <si>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</si>
  <si>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</si>
  <si>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</si>
  <si>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</si>
  <si>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</si>
  <si>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</si>
  <si>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</si>
  <si>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</si>
  <si>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</si>
  <si>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</si>
  <si>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</si>
  <si>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</si>
  <si>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</si>
  <si>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</si>
  <si>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</si>
  <si>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</si>
  <si>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</si>
  <si>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</si>
  <si>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</si>
  <si>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</si>
  <si>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</si>
  <si>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</si>
  <si>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</si>
  <si>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</si>
  <si>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</si>
  <si>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</si>
  <si>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</si>
  <si>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</si>
  <si>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</si>
  <si>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</si>
  <si>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</si>
  <si>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</si>
  <si>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</si>
  <si>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</si>
  <si>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</si>
  <si>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</si>
  <si>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</si>
  <si>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</si>
  <si>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</si>
  <si>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</si>
  <si>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</si>
  <si>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</si>
  <si>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</si>
  <si>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</si>
  <si>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</si>
  <si>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</si>
  <si>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</si>
  <si>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</si>
  <si>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</si>
  <si>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</si>
  <si>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</si>
  <si>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</si>
  <si>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</si>
  <si>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</si>
  <si>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</si>
  <si>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</si>
  <si>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</si>
  <si>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</si>
  <si>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</si>
  <si>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</si>
  <si>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</si>
  <si>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</si>
  <si>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</si>
  <si>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</si>
  <si>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</si>
  <si>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</si>
  <si>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</si>
  <si>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</si>
  <si>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</si>
  <si>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</si>
  <si>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</si>
  <si>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</si>
  <si>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</si>
  <si>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</si>
  <si>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</si>
  <si>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</si>
  <si>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</si>
  <si>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</si>
  <si>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</si>
  <si>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</si>
  <si>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</si>
  <si>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</si>
  <si>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</si>
  <si>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</si>
  <si>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</si>
  <si>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</si>
  <si>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</si>
  <si>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</si>
  <si>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</si>
  <si>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</si>
  <si>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</si>
  <si>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</si>
  <si>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</si>
  <si>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</si>
  <si>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</si>
  <si>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</si>
  <si>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</si>
  <si>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</si>
  <si>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</si>
  <si>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</si>
  <si>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</si>
  <si>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</si>
  <si>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</si>
  <si>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</si>
  <si>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</si>
  <si>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</si>
  <si>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</si>
  <si>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</si>
  <si>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</si>
  <si>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</si>
  <si>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</si>
  <si>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</si>
  <si>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</si>
  <si>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</si>
  <si>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</si>
  <si>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</si>
  <si>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</si>
  <si>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</si>
  <si>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</si>
  <si>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</si>
  <si>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</si>
  <si>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</si>
  <si>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</si>
  <si>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</si>
  <si>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</si>
  <si>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</si>
  <si>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</si>
  <si>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</si>
  <si>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</si>
  <si>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</si>
  <si>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</si>
  <si>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</si>
  <si>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</si>
  <si>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</si>
  <si>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</si>
  <si>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</si>
  <si>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</si>
  <si>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</si>
  <si>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</si>
  <si>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</si>
  <si>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</si>
  <si>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</si>
  <si>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</si>
  <si>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</si>
  <si>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</si>
  <si>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</si>
  <si>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</si>
  <si>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</si>
  <si>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</si>
  <si>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</si>
  <si>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</si>
  <si>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</si>
  <si>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</si>
  <si>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</si>
  <si>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</si>
  <si>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</si>
  <si>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</si>
  <si>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</si>
  <si>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</si>
  <si>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</si>
  <si>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</si>
  <si>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</si>
  <si>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</si>
  <si>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</si>
  <si>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</si>
  <si>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</si>
  <si>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</si>
  <si>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</si>
  <si>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</si>
  <si>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</si>
  <si>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</si>
  <si>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</si>
  <si>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</si>
  <si>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</si>
  <si>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</si>
  <si>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</si>
  <si>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</si>
  <si>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</si>
  <si>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</si>
  <si>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</si>
  <si>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</si>
  <si>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</si>
  <si>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</si>
  <si>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</si>
  <si>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</si>
  <si>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</si>
  <si>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</si>
  <si>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</si>
  <si>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</si>
  <si>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</si>
  <si>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</si>
  <si>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</si>
  <si>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</si>
  <si>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</si>
  <si>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</si>
  <si>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</si>
  <si>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</si>
  <si>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</si>
  <si>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</si>
  <si>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</si>
  <si>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</si>
  <si>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</si>
  <si>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</si>
  <si>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</si>
  <si>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</si>
  <si>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</si>
  <si>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</si>
  <si>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</si>
  <si>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</si>
  <si>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</si>
  <si>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</si>
  <si>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</si>
  <si>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</si>
  <si>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</si>
  <si>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</si>
  <si>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</si>
  <si>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</si>
  <si>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</si>
  <si>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</si>
  <si>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</si>
  <si>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</si>
  <si>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</si>
  <si>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</si>
  <si>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</si>
  <si>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</si>
  <si>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</si>
  <si>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</si>
  <si>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</si>
  <si>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</si>
  <si>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</si>
  <si>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</si>
  <si>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</si>
  <si>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</si>
  <si>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</si>
  <si>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</si>
  <si>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</si>
  <si>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</si>
  <si>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</si>
  <si>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</si>
  <si>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</si>
  <si>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</si>
  <si>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</si>
  <si>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</si>
  <si>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</si>
  <si>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</si>
  <si>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</si>
  <si>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</si>
  <si>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</si>
  <si>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</si>
  <si>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</si>
  <si>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</si>
  <si>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</si>
  <si>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</si>
  <si>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</si>
  <si>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</si>
  <si>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</si>
  <si>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</si>
  <si>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</si>
  <si>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</si>
  <si>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</si>
  <si>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</si>
  <si>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</si>
  <si>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</si>
  <si>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</si>
  <si>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</si>
  <si>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</si>
  <si>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</si>
  <si>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</si>
  <si>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</si>
  <si>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</si>
  <si>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</si>
  <si>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</si>
  <si>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</si>
  <si>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</si>
  <si>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</si>
  <si>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</si>
  <si>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</si>
  <si>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</si>
  <si>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</si>
  <si>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</si>
  <si>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</si>
  <si>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</si>
  <si>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</si>
  <si>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</si>
  <si>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</si>
  <si>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</si>
  <si>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</si>
  <si>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</si>
  <si>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</si>
  <si>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</si>
  <si>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</si>
  <si>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</si>
  <si>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</si>
  <si>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</si>
  <si>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</si>
  <si>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</si>
  <si>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</si>
  <si>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</si>
  <si>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</si>
  <si>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</si>
  <si>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</si>
  <si>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</si>
  <si>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</si>
  <si>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</si>
  <si>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</si>
  <si>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</si>
  <si>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</si>
  <si>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</si>
  <si>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</si>
  <si>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</si>
  <si>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</si>
  <si>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</si>
  <si>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</si>
  <si>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</si>
  <si>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</si>
  <si>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</si>
  <si>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</si>
  <si>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</si>
  <si>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</si>
  <si>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</si>
  <si>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</si>
  <si>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</si>
  <si>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</si>
  <si>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</si>
  <si>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</si>
  <si>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</si>
  <si>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</si>
  <si>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</si>
  <si>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</si>
  <si>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</si>
  <si>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</si>
  <si>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</si>
  <si>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</si>
  <si>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</si>
  <si>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</si>
  <si>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</si>
  <si>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</si>
  <si>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</si>
  <si>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</si>
  <si>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</si>
  <si>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</si>
  <si>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</si>
  <si>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</si>
  <si>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</si>
  <si>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</si>
  <si>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</si>
  <si>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</si>
  <si>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</si>
  <si>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</si>
  <si>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</si>
  <si>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</si>
  <si>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</si>
  <si>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</si>
  <si>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</si>
  <si>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</si>
  <si>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</si>
  <si>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</si>
  <si>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</si>
  <si>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</si>
  <si>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</si>
  <si>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</si>
  <si>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</si>
  <si>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</si>
  <si>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</si>
  <si>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</si>
  <si>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</si>
  <si>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</si>
  <si>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</si>
  <si>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</si>
  <si>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</si>
  <si>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</si>
  <si>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</si>
  <si>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</si>
  <si>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</si>
  <si>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</si>
  <si>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</si>
  <si>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</si>
  <si>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</si>
  <si>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</si>
  <si>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</si>
  <si>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</si>
  <si>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</si>
  <si>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</si>
  <si>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</si>
  <si>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</si>
  <si>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</si>
  <si>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</si>
  <si>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</si>
  <si>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</si>
  <si>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</si>
  <si>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</si>
  <si>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</si>
  <si>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</si>
  <si>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</si>
  <si>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</si>
  <si>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</si>
  <si>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</si>
  <si>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</si>
  <si>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</si>
  <si>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</si>
  <si>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</si>
  <si>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</si>
  <si>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</si>
  <si>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</si>
  <si>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</si>
  <si>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</si>
  <si>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</si>
  <si>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</si>
  <si>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</si>
  <si>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</si>
  <si>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</si>
  <si>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</si>
  <si>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</si>
  <si>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</si>
  <si>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</si>
  <si>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</si>
  <si>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</si>
  <si>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</si>
  <si>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</si>
  <si>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</si>
  <si>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</si>
  <si>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</si>
  <si>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</si>
  <si>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</si>
  <si>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</si>
  <si>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</si>
  <si>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</si>
  <si>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</si>
  <si>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</si>
  <si>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</si>
  <si>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</si>
  <si>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</si>
  <si>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</si>
  <si>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</si>
  <si>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</si>
  <si>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</si>
  <si>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</si>
  <si>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</si>
  <si>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</si>
  <si>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</si>
  <si>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</si>
  <si>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</si>
  <si>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</si>
  <si>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</si>
  <si>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</si>
  <si>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</si>
  <si>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</si>
  <si>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</si>
  <si>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</si>
  <si>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</si>
  <si>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</si>
  <si>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</si>
  <si>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</si>
  <si>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</si>
  <si>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</si>
  <si>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</si>
  <si>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</si>
  <si>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</si>
  <si>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</si>
  <si>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</si>
  <si>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</si>
  <si>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</si>
  <si>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</si>
  <si>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</si>
  <si>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</si>
  <si>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</si>
  <si>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</si>
  <si>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</si>
  <si>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</si>
  <si>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</si>
  <si>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</si>
  <si>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</si>
  <si>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</si>
  <si>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</si>
  <si>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</si>
  <si>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</si>
  <si>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</si>
  <si>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</si>
  <si>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</si>
  <si>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</si>
  <si>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</si>
  <si>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</si>
  <si>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</si>
  <si>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</si>
  <si>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</si>
  <si>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</si>
  <si>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</si>
  <si>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</si>
  <si>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</si>
  <si>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</si>
  <si>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</si>
  <si>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</si>
  <si>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</si>
  <si>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</si>
  <si>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</si>
  <si>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</si>
  <si>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</si>
  <si>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</si>
  <si>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</si>
  <si>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</si>
  <si>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</si>
  <si>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</si>
  <si>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</si>
  <si>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</si>
  <si>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</si>
  <si>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</si>
  <si>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</si>
  <si>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</si>
  <si>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</si>
  <si>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</si>
  <si>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</si>
  <si>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</si>
  <si>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</si>
  <si>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</si>
  <si>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</si>
  <si>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</si>
  <si>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</si>
  <si>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</si>
  <si>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</si>
  <si>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</si>
  <si>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</si>
  <si>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</si>
  <si>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</si>
  <si>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</si>
  <si>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</si>
  <si>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</si>
  <si>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</si>
  <si>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</si>
  <si>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</si>
  <si>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</si>
  <si>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</si>
  <si>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</si>
  <si>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</si>
  <si>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</si>
  <si>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</si>
  <si>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</si>
  <si>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</si>
  <si>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</si>
  <si>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</si>
  <si>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</si>
  <si>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</si>
  <si>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</si>
  <si>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</si>
  <si>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</si>
  <si>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</si>
  <si>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</si>
  <si>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</si>
  <si>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</si>
  <si>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</si>
  <si>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</si>
  <si>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</si>
  <si>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</si>
  <si>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</si>
  <si>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</si>
  <si>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</si>
  <si>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</si>
  <si>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</si>
  <si>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</si>
  <si>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</si>
  <si>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</si>
  <si>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</si>
  <si>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</si>
  <si>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</si>
  <si>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</si>
  <si>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</si>
  <si>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</si>
  <si>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</si>
  <si>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</si>
  <si>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</si>
  <si>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</si>
  <si>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</si>
  <si>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</si>
  <si>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</si>
  <si>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</si>
  <si>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</si>
  <si>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</si>
  <si>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</si>
  <si>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</si>
  <si>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</si>
  <si>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</si>
  <si>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</si>
  <si>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</si>
  <si>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</si>
  <si>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</si>
  <si>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</si>
  <si>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</si>
  <si>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</si>
  <si>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</si>
  <si>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</si>
  <si>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</si>
  <si>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</si>
  <si>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</si>
  <si>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</si>
  <si>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</si>
  <si>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</si>
  <si>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</si>
  <si>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</si>
  <si>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</si>
  <si>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</si>
  <si>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</si>
  <si>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</si>
  <si>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</si>
  <si>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</si>
  <si>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</si>
  <si>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</si>
  <si>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</si>
  <si>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</si>
  <si>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</si>
  <si>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</si>
  <si>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</si>
  <si>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</si>
  <si>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</si>
  <si>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</si>
  <si>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</si>
  <si>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</si>
  <si>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</si>
  <si>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</si>
  <si>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</si>
  <si>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</si>
  <si>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</si>
  <si>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</si>
  <si>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</si>
  <si>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</si>
  <si>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</si>
  <si>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</si>
  <si>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</si>
  <si>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</si>
  <si>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</si>
  <si>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</si>
  <si>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</si>
  <si>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</si>
  <si>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</si>
  <si>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</si>
  <si>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</si>
  <si>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</si>
  <si>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</si>
  <si>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</si>
  <si>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</si>
  <si>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</si>
  <si>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</si>
  <si>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</si>
  <si>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</si>
  <si>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</si>
  <si>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</si>
  <si>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</si>
  <si>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</si>
  <si>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</si>
  <si>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</si>
  <si>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</si>
  <si>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</si>
  <si>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</si>
  <si>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</si>
  <si>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</si>
  <si>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</si>
  <si>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</si>
  <si>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</si>
  <si>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</si>
  <si>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</si>
  <si>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</si>
  <si>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</si>
  <si>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</si>
  <si>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</si>
  <si>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</si>
  <si>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</si>
  <si>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</si>
  <si>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</si>
  <si>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</si>
  <si>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</si>
  <si>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</si>
  <si>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</si>
  <si>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</si>
  <si>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</si>
  <si>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</si>
  <si>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</si>
  <si>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</si>
  <si>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</si>
  <si>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</si>
  <si>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</si>
  <si>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</si>
  <si>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</si>
  <si>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</si>
  <si>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</si>
  <si>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</si>
  <si>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</si>
  <si>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</si>
  <si>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</si>
  <si>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</si>
  <si>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</si>
  <si>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</si>
  <si>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</si>
  <si>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</si>
  <si>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</si>
  <si>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</si>
  <si>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</si>
  <si>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</si>
  <si>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</si>
  <si>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</si>
  <si>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</si>
  <si>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</si>
  <si>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</si>
  <si>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</si>
  <si>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</si>
  <si>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</si>
  <si>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</si>
  <si>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</si>
  <si>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</si>
  <si>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</si>
  <si>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</si>
  <si>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</si>
  <si>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</si>
  <si>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</si>
  <si>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</si>
  <si>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</si>
  <si>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</si>
  <si>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</si>
  <si>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</si>
  <si>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</si>
  <si>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</si>
  <si>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</si>
  <si>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</si>
  <si>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</si>
  <si>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</si>
  <si>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</si>
  <si>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</si>
  <si>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</si>
  <si>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</si>
  <si>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</si>
  <si>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</si>
  <si>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</si>
  <si>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</si>
  <si>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</si>
  <si>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</si>
  <si>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</si>
  <si>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</si>
  <si>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</si>
  <si>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</si>
  <si>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</si>
  <si>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</si>
  <si>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</si>
  <si>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</si>
  <si>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</si>
  <si>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</si>
  <si>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</si>
  <si>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</si>
  <si>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</si>
  <si>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</si>
  <si>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</si>
  <si>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</si>
  <si>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</si>
  <si>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</si>
  <si>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</si>
  <si>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</si>
  <si>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</si>
  <si>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</si>
  <si>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</si>
  <si>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</si>
  <si>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</si>
  <si>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</si>
  <si>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</si>
  <si>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</si>
  <si>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</si>
  <si>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</si>
  <si>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</si>
  <si>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</si>
  <si>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</si>
  <si>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</si>
  <si>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</si>
  <si>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</si>
  <si>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</si>
  <si>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</si>
  <si>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</si>
  <si>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</si>
  <si>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</si>
  <si>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</si>
  <si>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</si>
  <si>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</si>
  <si>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</si>
  <si>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</si>
  <si>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</si>
  <si>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</si>
  <si>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</si>
  <si>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</si>
  <si>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</si>
  <si>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</si>
  <si>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</si>
  <si>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</si>
  <si>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</si>
  <si>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</si>
  <si>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</si>
  <si>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</si>
  <si>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</si>
  <si>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</si>
  <si>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</si>
  <si>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</si>
  <si>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</si>
  <si>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</si>
  <si>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</si>
  <si>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</si>
  <si>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</si>
  <si>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</si>
  <si>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</si>
  <si>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</si>
  <si>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</si>
  <si>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</si>
  <si>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</si>
  <si>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</si>
  <si>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</si>
  <si>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</si>
  <si>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</si>
  <si>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</si>
  <si>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</si>
  <si>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</si>
  <si>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</si>
  <si>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</si>
  <si>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</si>
  <si>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</si>
  <si>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</si>
  <si>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</si>
  <si>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</si>
  <si>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</si>
  <si>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</si>
  <si>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</si>
  <si>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</si>
  <si>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</si>
  <si>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</si>
  <si>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</si>
  <si>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</si>
  <si>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</si>
  <si>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</si>
  <si>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</si>
  <si>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</si>
  <si>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</si>
  <si>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</si>
  <si>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</si>
  <si>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</si>
  <si>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</si>
  <si>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</si>
  <si>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</si>
  <si>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</si>
  <si>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</si>
  <si>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</si>
  <si>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</si>
  <si>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</si>
  <si>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</si>
  <si>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</si>
  <si>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</si>
  <si>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</si>
  <si>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</si>
  <si>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</si>
  <si>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</si>
  <si>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</si>
  <si>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</si>
  <si>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</si>
  <si>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</si>
  <si>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</si>
  <si>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</si>
  <si>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</si>
  <si>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</si>
  <si>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</si>
  <si>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</si>
  <si>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</si>
  <si>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</si>
  <si>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</si>
  <si>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</si>
  <si>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</si>
  <si>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</si>
  <si>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</si>
  <si>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</si>
  <si>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</si>
  <si>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</si>
  <si>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</si>
  <si>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</si>
  <si>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</si>
  <si>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</si>
  <si>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</si>
  <si>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</si>
  <si>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</si>
  <si>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</si>
  <si>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</si>
  <si>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</si>
  <si>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</si>
  <si>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</si>
  <si>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</si>
  <si>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</si>
  <si>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</si>
  <si>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</si>
  <si>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</si>
  <si>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</si>
  <si>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</si>
  <si>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</si>
  <si>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</si>
  <si>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</si>
  <si>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</si>
  <si>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</si>
  <si>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</si>
  <si>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</si>
  <si>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</si>
  <si>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</si>
  <si>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</si>
  <si>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</si>
  <si>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</si>
  <si>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</si>
  <si>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</si>
  <si>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</si>
  <si>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</si>
  <si>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</si>
  <si>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</si>
  <si>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</si>
  <si>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</si>
  <si>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</si>
  <si>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</si>
  <si>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</si>
  <si>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</si>
  <si>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</si>
  <si>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</si>
  <si>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</si>
  <si>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</si>
  <si>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</si>
  <si>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</si>
  <si>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</si>
  <si>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</si>
  <si>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</si>
  <si>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</si>
  <si>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</si>
  <si>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</si>
  <si>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</si>
  <si>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</si>
  <si>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</si>
  <si>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</si>
  <si>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</si>
  <si>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</si>
  <si>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</si>
  <si>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</si>
  <si>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</si>
  <si>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</si>
  <si>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</si>
  <si>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</si>
  <si>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</si>
  <si>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</si>
  <si>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</si>
  <si>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</si>
  <si>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</si>
  <si>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</si>
  <si>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</si>
  <si>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</si>
  <si>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</si>
  <si>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</si>
  <si>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</si>
  <si>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</si>
  <si>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</si>
  <si>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</si>
  <si>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</si>
  <si>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</si>
  <si>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</si>
  <si>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</si>
  <si>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</si>
  <si>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</si>
  <si>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</si>
  <si>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</si>
  <si>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</si>
  <si>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</si>
  <si>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</si>
  <si>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</si>
  <si>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</si>
  <si>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</si>
  <si>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</si>
  <si>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</si>
  <si>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</si>
  <si>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</si>
  <si>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</si>
  <si>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</si>
  <si>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</si>
  <si>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</si>
  <si>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</si>
  <si>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</si>
  <si>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</si>
  <si>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</si>
  <si>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</si>
  <si>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</si>
  <si>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</si>
  <si>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</si>
  <si>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</si>
  <si>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</si>
  <si>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</si>
  <si>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</si>
  <si>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</si>
  <si>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</si>
  <si>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</si>
  <si>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</si>
  <si>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</si>
  <si>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</si>
  <si>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</si>
  <si>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</si>
  <si>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</si>
  <si>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</si>
  <si>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</si>
  <si>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</si>
  <si>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</si>
  <si>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</si>
  <si>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</si>
  <si>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</si>
  <si>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</si>
  <si>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</si>
  <si>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</si>
  <si>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</si>
  <si>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</si>
  <si>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</si>
  <si>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</si>
  <si>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</si>
  <si>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</si>
  <si>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</si>
  <si>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</si>
  <si>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</si>
  <si>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</si>
  <si>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</si>
  <si>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</si>
  <si>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</si>
  <si>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</si>
  <si>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</si>
  <si>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</si>
  <si>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</si>
  <si>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</si>
  <si>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</si>
  <si>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</si>
  <si>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</si>
  <si>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</si>
  <si>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</si>
  <si>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</si>
  <si>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</si>
  <si>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</si>
  <si>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</si>
  <si>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</si>
  <si>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</si>
  <si>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</si>
  <si>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</si>
  <si>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</si>
  <si>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</si>
  <si>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</si>
  <si>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</si>
  <si>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</si>
  <si>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</si>
  <si>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</si>
  <si>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</si>
  <si>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</si>
  <si>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</si>
  <si>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</si>
  <si>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</si>
  <si>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</si>
  <si>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</si>
  <si>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</si>
  <si>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</si>
  <si>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</si>
  <si>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</si>
  <si>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</si>
  <si>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</si>
  <si>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</si>
  <si>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</si>
  <si>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</si>
  <si>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</si>
  <si>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</si>
  <si>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</si>
  <si>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</si>
  <si>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</si>
  <si>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</si>
  <si>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</si>
  <si>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</si>
  <si>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</si>
  <si>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</si>
  <si>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</si>
  <si>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</si>
  <si>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</si>
  <si>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</si>
  <si>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</si>
  <si>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</si>
  <si>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</si>
  <si>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</si>
  <si>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</si>
  <si>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</si>
  <si>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</si>
  <si>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</si>
  <si>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</si>
  <si>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</si>
  <si>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</si>
  <si>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</si>
  <si>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</si>
  <si>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</si>
  <si>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</si>
  <si>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</si>
  <si>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</si>
  <si>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</si>
  <si>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</si>
  <si>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</si>
  <si>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</si>
  <si>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</si>
  <si>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</si>
  <si>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</si>
  <si>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</si>
  <si>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</si>
  <si>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</si>
  <si>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</si>
  <si>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</si>
  <si>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</si>
  <si>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</si>
  <si>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</si>
  <si>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</si>
  <si>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</si>
  <si>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</si>
  <si>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</si>
  <si>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</si>
  <si>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</si>
  <si>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</si>
  <si>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</si>
  <si>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</si>
  <si>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</si>
  <si>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</si>
  <si>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</si>
  <si>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</si>
  <si>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</si>
  <si>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</si>
  <si>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</si>
  <si>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</si>
  <si>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</si>
  <si>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</si>
  <si>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</si>
  <si>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</si>
  <si>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</si>
  <si>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</si>
  <si>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</si>
  <si>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</si>
  <si>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</si>
  <si>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</si>
  <si>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</si>
  <si>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</si>
  <si>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</si>
  <si>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</si>
  <si>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</si>
  <si>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</si>
  <si>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</si>
  <si>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</si>
  <si>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</si>
  <si>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</si>
  <si>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</si>
  <si>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</si>
  <si>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</si>
  <si>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</si>
  <si>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</si>
  <si>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</si>
  <si>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</si>
  <si>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</si>
  <si>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</si>
  <si>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</si>
  <si>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</si>
  <si>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</si>
  <si>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</si>
  <si>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</si>
  <si>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</si>
  <si>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</si>
  <si>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</si>
  <si>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</si>
  <si>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</si>
  <si>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</si>
  <si>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</si>
  <si>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</si>
  <si>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</si>
  <si>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</si>
  <si>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</si>
  <si>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</si>
  <si>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</si>
  <si>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</si>
  <si>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</si>
  <si>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</si>
  <si>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</si>
  <si>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</si>
  <si>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</si>
  <si>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</si>
  <si>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</si>
  <si>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</si>
  <si>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</si>
  <si>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</si>
  <si>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</si>
  <si>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</si>
  <si>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</si>
  <si>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</si>
  <si>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</si>
  <si>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</si>
  <si>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</si>
  <si>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</si>
  <si>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</si>
  <si>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</si>
  <si>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</si>
  <si>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</si>
  <si>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</si>
  <si>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</si>
  <si>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</si>
  <si>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</si>
  <si>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</si>
  <si>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</si>
  <si>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</si>
  <si>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</si>
  <si>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</si>
  <si>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</si>
  <si>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</si>
  <si>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</si>
  <si>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</si>
  <si>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</si>
  <si>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</si>
  <si>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</si>
  <si>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</si>
  <si>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</si>
  <si>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</si>
  <si>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</si>
  <si>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</si>
  <si>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</si>
  <si>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</si>
  <si>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</si>
  <si>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</si>
  <si>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</si>
  <si>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</si>
  <si>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</si>
  <si>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</si>
  <si>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</si>
  <si>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</si>
  <si>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</si>
  <si>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</si>
  <si>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</si>
  <si>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</si>
  <si>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</si>
  <si>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</si>
  <si>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</si>
  <si>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</si>
  <si>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</si>
  <si>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</si>
  <si>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</si>
  <si>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</si>
  <si>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</si>
  <si>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</si>
  <si>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</si>
  <si>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</si>
  <si>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</si>
  <si>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</si>
  <si>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</si>
  <si>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</si>
  <si>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</si>
  <si>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</si>
  <si>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</si>
  <si>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</si>
  <si>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</si>
  <si>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</si>
  <si>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</si>
  <si>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</si>
  <si>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</si>
  <si>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</si>
  <si>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</si>
  <si>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</si>
  <si>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</si>
  <si>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</si>
  <si>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</si>
  <si>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</si>
  <si>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</si>
  <si>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</si>
  <si>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</si>
  <si>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</si>
  <si>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</si>
  <si>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</si>
  <si>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</si>
  <si>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</si>
  <si>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</si>
  <si>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</si>
  <si>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</si>
  <si>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</si>
  <si>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</si>
  <si>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</si>
  <si>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</si>
  <si>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</si>
  <si>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</si>
  <si>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</si>
  <si>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</si>
  <si>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</si>
  <si>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</si>
  <si>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</si>
  <si>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</si>
  <si>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</si>
  <si>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</si>
  <si>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</si>
  <si>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</si>
  <si>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</si>
  <si>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</si>
  <si>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</si>
  <si>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</si>
  <si>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</si>
  <si>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</si>
  <si>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</si>
  <si>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</si>
  <si>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</si>
  <si>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</si>
  <si>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</si>
  <si>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</si>
  <si>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</si>
  <si>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</si>
  <si>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</si>
  <si>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</si>
  <si>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</si>
  <si>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</si>
  <si>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</si>
  <si>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</si>
  <si>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</si>
  <si>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</si>
  <si>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</si>
  <si>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</si>
  <si>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</si>
  <si>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</si>
  <si>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</si>
  <si>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</si>
  <si>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</si>
  <si>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</si>
  <si>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</si>
  <si>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</si>
  <si>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</si>
  <si>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</si>
  <si>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</si>
  <si>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</si>
  <si>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</si>
  <si>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</si>
  <si>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</si>
  <si>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</si>
  <si>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</si>
  <si>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</si>
  <si>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</si>
  <si>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</si>
  <si>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</si>
  <si>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</si>
  <si>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</si>
  <si>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</si>
  <si>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</si>
  <si>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</si>
  <si>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</si>
  <si>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</si>
  <si>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</si>
  <si>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</si>
  <si>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</si>
  <si>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</si>
  <si>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</si>
  <si>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</si>
  <si>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</si>
  <si>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</si>
  <si>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</si>
  <si>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</si>
  <si>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</si>
  <si>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</si>
  <si>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</si>
  <si>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</si>
  <si>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</si>
  <si>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</si>
  <si>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</si>
  <si>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</si>
  <si>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</si>
  <si>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</si>
  <si>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</si>
  <si>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</si>
  <si>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</si>
  <si>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</si>
  <si>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</si>
  <si>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</si>
  <si>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</si>
  <si>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</si>
  <si>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</si>
  <si>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</si>
  <si>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</si>
  <si>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</si>
  <si>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</si>
  <si>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</si>
  <si>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</si>
  <si>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</si>
  <si>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</si>
  <si>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</si>
  <si>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</si>
  <si>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</si>
  <si>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</si>
  <si>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</si>
  <si>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</si>
  <si>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</si>
  <si>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</si>
  <si>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</si>
  <si>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</si>
  <si>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</si>
  <si>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</si>
  <si>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</si>
  <si>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</si>
  <si>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</si>
  <si>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</si>
  <si>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</si>
  <si>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</si>
  <si>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</si>
  <si>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</si>
  <si>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</si>
  <si>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</si>
  <si>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</si>
  <si>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</si>
  <si>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</si>
  <si>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</si>
  <si>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</si>
  <si>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</si>
  <si>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</si>
  <si>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</si>
  <si>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</si>
  <si>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</si>
  <si>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</si>
  <si>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</si>
  <si>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</si>
  <si>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</si>
  <si>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</si>
  <si>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</si>
  <si>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</si>
  <si>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</si>
  <si>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EUROQUARTZ LIMITED</t>
  </si>
  <si>
    <t>1773012</t>
  </si>
  <si>
    <t>UK COMPANY REGISTRATION</t>
  </si>
  <si>
    <t>BLACKNELL LANE INDUSTRIAL ESTATE, CREWKERNE UK TA18 7HE</t>
  </si>
  <si>
    <t>ANDY TREBLE</t>
  </si>
  <si>
    <t>atreble@euroquartz.co.uk</t>
  </si>
  <si>
    <t>(0) 1460230000</t>
  </si>
  <si>
    <t>Quality Manager</t>
  </si>
  <si>
    <t>CFSI</t>
  </si>
  <si>
    <t>Not disclosed by supplier</t>
  </si>
  <si>
    <t>Mineral sourcing not disclosed per LBMA, Not disclosed by supplier</t>
  </si>
  <si>
    <t>EICC-GeSI certified Conflict Free</t>
  </si>
  <si>
    <t>47 Aza Maseguchi, Kanaya Tamura-machi, Koriyama-shi, Fukushima, 963-0725, JAPAN</t>
  </si>
  <si>
    <t xml:space="preserve">Ito-San, Tomomi Okoshi </t>
  </si>
  <si>
    <t>gyito@asaka.co.jp, gtohko@asaka.co.jp</t>
  </si>
  <si>
    <t>Recycled, Scrap</t>
  </si>
  <si>
    <t>Mineral sourcing R/S</t>
  </si>
  <si>
    <t>Hovestrasse 50</t>
  </si>
  <si>
    <t>Hamburg State</t>
  </si>
  <si>
    <t>Dr.Bernt Drouven</t>
  </si>
  <si>
    <t>info@aurubis.com</t>
  </si>
  <si>
    <t xml:space="preserve">A. Mabini St. cor. P. Ocampo St., Malate Manila, Philippines 1004
BSP- Security Plant Complex, East Avenue, Quezon City, Philippines   </t>
  </si>
  <si>
    <t>Manila</t>
  </si>
  <si>
    <t>Ms. Nanette Ella</t>
  </si>
  <si>
    <t>bspmail@bsp.gov.ph, FiloteoJN@bsp.gov.ph, nella@bsp.gov.ph</t>
  </si>
  <si>
    <t>Skelleftehamn, Skellefteå Municipality, Västerbotten County, Sweden</t>
  </si>
  <si>
    <t>Västerbotten</t>
  </si>
  <si>
    <t>Bleichstrasse 13-17</t>
  </si>
  <si>
    <t>Torsten Schlindwein</t>
  </si>
  <si>
    <t>torsten.schlindwein@c-hafner.de</t>
  </si>
  <si>
    <t>220 Avenue Du Rocher</t>
  </si>
  <si>
    <t>Paul Healey</t>
  </si>
  <si>
    <t>phealey@xstratacopper.ca</t>
  </si>
  <si>
    <t>Mineral sourcing not disclosed per LBMA, from Various regions across the globe not including the DRC and its 9 adjacent countries</t>
  </si>
  <si>
    <t>Tuscany</t>
  </si>
  <si>
    <t>60-1 Otarube Kosakakouzan</t>
  </si>
  <si>
    <t>Mr. Koji Miyake</t>
  </si>
  <si>
    <t>miyakek@dowa.co.jp
Tel: +81-368471204
Tel: +81-368471200
http://www.dowa.co.jp</t>
  </si>
  <si>
    <t>Recycled, from Huckleberry</t>
  </si>
  <si>
    <t>Mineral sourcing L1, R/S, Canada, recycled</t>
  </si>
  <si>
    <t>Eco-System Recycling Co., Ltd.</t>
  </si>
  <si>
    <t>1781-3 Nitte</t>
  </si>
  <si>
    <t>Yuki Okada</t>
  </si>
  <si>
    <t>okaday3@dowa.co.jp</t>
  </si>
  <si>
    <t>Mineral sourcing R/S, Recycled</t>
  </si>
  <si>
    <t>Dennigstraße 16 – 75179, Pforzheim, Germany</t>
  </si>
  <si>
    <t>Monika Bakula</t>
  </si>
  <si>
    <t>bakula@heimerle-meule.com</t>
  </si>
  <si>
    <t>Mineral sourcing R/S, Recycled, Scrap</t>
  </si>
  <si>
    <t>30 On Chuen Street, On Lok Tsuen</t>
  </si>
  <si>
    <t>Hong Kong</t>
  </si>
  <si>
    <t>Dick D.W. Poon
Lung Chak Yeung
Mike Fu</t>
  </si>
  <si>
    <t>dick.poon@heraeus.com
chakyeung.lung@heraeus.com
mike.fu@heraeus.com
Tel: +852-27731733
Tel: +852-26751200
http://heraeus.com.hk</t>
  </si>
  <si>
    <t>(include recycled)</t>
  </si>
  <si>
    <t>CFS / Compliant Gold Refiner</t>
  </si>
  <si>
    <t xml:space="preserve">Heareusstrasse, 12-14 </t>
  </si>
  <si>
    <t>Hesse</t>
  </si>
  <si>
    <t>Mr. Zumpfe Alexander</t>
  </si>
  <si>
    <t>alexander.zumpfe@heraeus.com</t>
  </si>
  <si>
    <t>Recycled or scrap</t>
  </si>
  <si>
    <t>Mineral sourcing not disclosed per LBMA, Recycled or scrap</t>
  </si>
  <si>
    <t>2-12-30 Aoyagi Soka</t>
  </si>
  <si>
    <t>Naohiko Shintani</t>
  </si>
  <si>
    <t>naohiko-shintani@mitsui-high-tec.com
Tel: +81-332523131
http://www.ishifuku.co.jp</t>
  </si>
  <si>
    <t>Recycled</t>
  </si>
  <si>
    <t>Mineral sourcing not disclosed per LBMA, Recycled</t>
  </si>
  <si>
    <t xml:space="preserve">Kuyumcukent, Istanbul, Turkey </t>
  </si>
  <si>
    <t xml:space="preserve">confo@igrglobal.com, anna.dinzler@igrglobal.com </t>
  </si>
  <si>
    <t>UNITED STATES</t>
  </si>
  <si>
    <t>4601 West 2100 South</t>
  </si>
  <si>
    <t xml:space="preserve">
Tel: +18019726466
http://www.matthey.com</t>
  </si>
  <si>
    <t>3382 Saganoseki</t>
  </si>
  <si>
    <t>Inquiries on the home page of the company</t>
  </si>
  <si>
    <t>recycled</t>
  </si>
  <si>
    <t>4700 Daybreak Parkway South Jordan</t>
  </si>
  <si>
    <t>Bill Adams</t>
  </si>
  <si>
    <t>william.adams@riotinto.com</t>
  </si>
  <si>
    <t>Mineral sourcing not disclosed per RJC, Not disclosed by supplier</t>
  </si>
  <si>
    <t>337-26 Kashiwabara</t>
  </si>
  <si>
    <t>(+81)4-2953-9231</t>
  </si>
  <si>
    <t xml:space="preserve">Not disclosed by supplier
</t>
  </si>
  <si>
    <t>Mineral sourcing L1, R/S, Recycled</t>
  </si>
  <si>
    <t>20st Floor ASEM Tower, Trade Center, Samsung-dong 159</t>
  </si>
  <si>
    <t>Ulsan</t>
  </si>
  <si>
    <t>SY Hong;
JinWon Jung;
BH Choi</t>
  </si>
  <si>
    <t>syhong@lsnikko.com;
gogilra11@lsnikko.com;
eun85710@nate.com</t>
  </si>
  <si>
    <t>From Escondida, Andia, Cuquicamata, Vale</t>
  </si>
  <si>
    <t>Mineral sourcing not disclosed per LBMA, Chile, Brazil</t>
  </si>
  <si>
    <t>2978 Main Street</t>
  </si>
  <si>
    <t>Michael O'Neill</t>
  </si>
  <si>
    <t xml:space="preserve"> Michael.ONeill@materion.com</t>
  </si>
  <si>
    <t>Recycled and scrap</t>
  </si>
  <si>
    <t>Mineral sourcing L1, R/S, Recycled and scrap, USA</t>
  </si>
  <si>
    <t>Higashi-Sayama 60, Negeshi Iruma</t>
  </si>
  <si>
    <t>Tetsuya Miyatake</t>
  </si>
  <si>
    <t>jigane@matsuda.sangyo.co.jp
Tel: +81-333450811
http://www.matsuda-sangyo.co.jp</t>
  </si>
  <si>
    <t>Suite 1705-9, The Metropolis Tower 10 Metropolis Drive</t>
  </si>
  <si>
    <t>Yeuk Fung Tsoi
Frank Hsiao</t>
  </si>
  <si>
    <t>Yeuk_Fung_Tsoi@metalor.com
frank.hsiao@metalor.com
Tel: +852-25211431
Tel: +852-23650301
Tel: +852-28867776
http://www.metalor.com</t>
  </si>
  <si>
    <t>From Metalor Technologies (Hong Kong)</t>
  </si>
  <si>
    <t>Mineral sourcing not disclosed per LBMA, Not disclosed by  supplier</t>
  </si>
  <si>
    <t>Metalor Technologies SA</t>
  </si>
  <si>
    <t>Route des Perveuils 8</t>
  </si>
  <si>
    <t>Antoine de Montmollin</t>
  </si>
  <si>
    <t>Antoine.DeMontmollin@metalor.com</t>
  </si>
  <si>
    <t>Recycled or scrap, More than 80% of gold source coming from recycle &amp; scrap.</t>
  </si>
  <si>
    <t>Mineral sourcing not disclosed per LBMA, Countries other than Democratic Republic of the Congo and the nine countries which with it shares an internationally recognized border: Angola, Burundi, Central African Republic, Republic of the Congo, Rwanda, South Sudan, Tanzania, Uganda, Zambia.</t>
  </si>
  <si>
    <t>255 John L. Dietsch Blvd.</t>
  </si>
  <si>
    <t>Larry Drummond</t>
  </si>
  <si>
    <t>larry.drummond@metalor.com</t>
  </si>
  <si>
    <t>United States-recycled</t>
  </si>
  <si>
    <t>METALÚRGICA MET-MEX PEÑOLES, S.A. DE C.V</t>
  </si>
  <si>
    <t>Torreon, Coahuila, Mexico</t>
  </si>
  <si>
    <t>Coahuila</t>
  </si>
  <si>
    <t>pagina-web_penoles@penoles.com.mx, penoles_sustentable@penoles.com.mx</t>
  </si>
  <si>
    <t>4049-1 Naoshima-cho</t>
  </si>
  <si>
    <t>Kudani Haruo</t>
  </si>
  <si>
    <t>kudani@mmc.co.jp
Tel: +81-352525370
Tel: +81-352525206
http://www.mmc.co.jp</t>
  </si>
  <si>
    <t>1-5-1 Shiomachi</t>
  </si>
  <si>
    <t>(+81)3-5437-8000</t>
  </si>
  <si>
    <t>http://www.mitsui-kinzoku.co.jp/en/contact/index.html</t>
  </si>
  <si>
    <t>Recycled, From Los Pelambres Mine, Collahuasi Mine, Escondida Mine, Cadia Hill &amp; Ridgeway Mines</t>
  </si>
  <si>
    <t>Mineral sourcing not disclosed per LBMA, Recycled, Chile, Australia</t>
  </si>
  <si>
    <t>Bahçelievler, Istanbul, Turkey</t>
  </si>
  <si>
    <t xml:space="preserve">info@nadirmetal.com.tr, info@nadirdoviz.com, dmcc@nadirgold.com, roberto@nadirgold.com </t>
  </si>
  <si>
    <t>19-2, Hayama</t>
  </si>
  <si>
    <t>Yasuyuki Yonenaga</t>
  </si>
  <si>
    <t>yonenaga@material.co.jp</t>
  </si>
  <si>
    <t>284 Nishinokyo-cho Nara-shi Nara Japan</t>
  </si>
  <si>
    <t>Mineral sourcing L1, Not disclosed by supplier</t>
  </si>
  <si>
    <t>Refinery Road,Industries West,</t>
  </si>
  <si>
    <t>Jack Xue</t>
  </si>
  <si>
    <t>Jack.xue@metalor.com</t>
  </si>
  <si>
    <t>From Rand Refinery (Pty) Ltd</t>
  </si>
  <si>
    <t>Mineral sourcing not disclosed per LBMA, South Africa</t>
  </si>
  <si>
    <t>320 Sussex Drive, Ottawa</t>
  </si>
  <si>
    <t>Robin Entwistle
Chris Carkner
Alex Reeves</t>
  </si>
  <si>
    <t>entwistle@mint.ca
carkner@mint.ca
reeves@mint.ca
Tel: +613-6139542626
Tel: +613-6139495777
http://www.mint.ca</t>
  </si>
  <si>
    <t>Yantai Economic-technological Development Area,Shangdong</t>
  </si>
  <si>
    <t>Shandong</t>
  </si>
  <si>
    <t>Xiaojun Yang</t>
  </si>
  <si>
    <t>ylb@zhaojin.cn</t>
  </si>
  <si>
    <t>From Shandong Zhaojin Group Co., Ltd.</t>
  </si>
  <si>
    <t>Mineral sourcing not disclosed per LBMA, China and recycled</t>
  </si>
  <si>
    <t>TAIWAN</t>
  </si>
  <si>
    <t>No.1, Gongye 3rd Rd., Annan Dis.</t>
  </si>
  <si>
    <t>Taiwan</t>
  </si>
  <si>
    <t>Jimmy Wu</t>
  </si>
  <si>
    <t>jimmy@solartech.com.tw</t>
  </si>
  <si>
    <t xml:space="preserve">Recycled </t>
  </si>
  <si>
    <t>Mineral sourcing L1, R/S, Recycled, Taiwan, HK.</t>
  </si>
  <si>
    <t>145-1, Funaya-Aza-Shinchi-Otsu</t>
  </si>
  <si>
    <t>Takanobu Hagiwara (Manager)</t>
  </si>
  <si>
    <t>takanobu_Hagiwara@ni.smm.co.jp
Tel: +81-334367839
Tel: +81-334367705
http://www.smm.co.jp</t>
  </si>
  <si>
    <t>2-14 Nagatoro, Hiratsuka</t>
  </si>
  <si>
    <t>Akihiko Okuda</t>
  </si>
  <si>
    <t>okuda@ml.tanaka.co.jp/kw6</t>
  </si>
  <si>
    <t>CFS / Compliant Gold Refiner / LBMA (London Bullion Market Association)</t>
  </si>
  <si>
    <t>Sansandao Street, Jin Cheng Zhen</t>
  </si>
  <si>
    <t>Yantai</t>
  </si>
  <si>
    <t>Sun Sukun</t>
  </si>
  <si>
    <t>sunsk@sd-gold.com</t>
  </si>
  <si>
    <t>From Shandong Gold Mining Co., Ltd.</t>
  </si>
  <si>
    <t>Mineral sourcing not disclosed per LBMA, China</t>
  </si>
  <si>
    <t>KajI-Cho 2-chrome, Chiyoda-ku</t>
  </si>
  <si>
    <t xml:space="preserve">
Tel: +81-332520171
http://www.tokuriki-kanda.co.jp</t>
  </si>
  <si>
    <t>2781 Towline Road Alden</t>
  </si>
  <si>
    <t>Anthony Arias</t>
  </si>
  <si>
    <t>sales@uniteddpmr.com
Tel: +1-7166838334
http://www.unitedpmr.com</t>
  </si>
  <si>
    <t>Western Australian Mint trading as The Perth Mint</t>
  </si>
  <si>
    <t>310 Hay street, East perth</t>
  </si>
  <si>
    <t>David Woodford</t>
  </si>
  <si>
    <t>david.woodford@perthmint.com.au</t>
  </si>
  <si>
    <t>From Refining, The Bronzewing Gold Mine, Perth Mint</t>
  </si>
  <si>
    <t>Mineral sourcing not disclosed per LBMA, Australia</t>
  </si>
  <si>
    <t>Yamakin Co. Ltd</t>
  </si>
  <si>
    <t>3-7 Sanadayama-cho Tennoji-ku Osaka 543-0015,Japan</t>
  </si>
  <si>
    <t>Kansai</t>
  </si>
  <si>
    <t>Kengo Inoue</t>
  </si>
  <si>
    <t>inoue@yamakin-gold.co.jp</t>
  </si>
  <si>
    <t xml:space="preserve">
Sanmenxia City, Henan, China</t>
  </si>
  <si>
    <t>Henan</t>
  </si>
  <si>
    <t>Wensheng Ren</t>
  </si>
  <si>
    <t>zjzyqhb@163.com</t>
  </si>
  <si>
    <t>Penang</t>
  </si>
  <si>
    <t>CFS / Compliant Tin Smelter</t>
  </si>
  <si>
    <t>Av. San Martin 1371</t>
  </si>
  <si>
    <t>Ms. Rosa Reategui
Jose Ore</t>
  </si>
  <si>
    <t>rosa.reategui@minsur.com
jose.ore@minsur.com
Tel: +51-12158330
http://www.minsur.com.pe</t>
  </si>
  <si>
    <t>Minsur-mine</t>
  </si>
  <si>
    <t>Peru-mine</t>
  </si>
  <si>
    <t>Ikuno-cho</t>
  </si>
  <si>
    <t>Mamoru Minami</t>
  </si>
  <si>
    <t>mminami@mmc.co.jp</t>
  </si>
  <si>
    <t>Lingkungan Jelitik Sungaliat, Kawasan Industri</t>
  </si>
  <si>
    <t>Bangka</t>
  </si>
  <si>
    <t>Ms. Meily Tanoto</t>
  </si>
  <si>
    <t>meily.tanoto@gmail.com</t>
  </si>
  <si>
    <t>Indonesia</t>
  </si>
  <si>
    <t>PT Timah (Persero) Tbk Kundur</t>
  </si>
  <si>
    <t xml:space="preserve">Jl. Jend Sudirman 51 </t>
  </si>
  <si>
    <t>Riau Islands</t>
  </si>
  <si>
    <t>Mr. Abdul Kamaroes</t>
  </si>
  <si>
    <t>akamaroes@pttimah.co.id</t>
  </si>
  <si>
    <t>Metallo-Chimique N.V.</t>
  </si>
  <si>
    <t>Nieuwe Dreef 33, 2340 Beerse, Belgium</t>
  </si>
  <si>
    <t>Mr.Mark Van Loon</t>
  </si>
  <si>
    <t>mark.vanloon@metallo.com</t>
  </si>
  <si>
    <t xml:space="preserve">Mineral sourcing L1,R/S, Some are recycled or scrap sourced but not all. </t>
  </si>
  <si>
    <t>Chongyi</t>
  </si>
  <si>
    <t>Jiangxi</t>
  </si>
  <si>
    <t>Mr. Weng Xiang Cai</t>
  </si>
  <si>
    <t>export@zy-tungsten.com</t>
  </si>
  <si>
    <t>Domestic mine. Not recycle.</t>
  </si>
  <si>
    <t>China</t>
  </si>
  <si>
    <t>CFS Compliant Tungsten smelter</t>
  </si>
  <si>
    <t>1-6-64 Sennarchio</t>
  </si>
  <si>
    <t>Akira Kotani</t>
  </si>
  <si>
    <t>akotani@jnm.co.jp</t>
  </si>
  <si>
    <t>scrap</t>
  </si>
  <si>
    <t>CFSP / Compliant Tungsten Smelter</t>
  </si>
  <si>
    <t>No. 58 Mafangxia 34100</t>
  </si>
  <si>
    <t>Mr. Chang Yu Zhoug</t>
  </si>
  <si>
    <t>dept1@cniecjx.com</t>
  </si>
  <si>
    <t>Haicang District</t>
  </si>
  <si>
    <t>Haicang</t>
  </si>
  <si>
    <t>Liu Ren Feng</t>
  </si>
  <si>
    <t>Liu.renfeng@cxtc.com</t>
  </si>
  <si>
    <t>NingHua Xingluokeng Tungsten Mining Co., Ltd.</t>
  </si>
  <si>
    <t>A&amp;IR Mining JSC</t>
  </si>
  <si>
    <t>Russia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</si>
</sst>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9"/>
        <bgColor indexed="26"/>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7" borderId="22" xfId="0" applyFont="1" applyFill="1" applyBorder="1" applyAlignment="1" applyProtection="1">
      <alignment horizontal="left" vertical="center"/>
      <protection locked="0"/>
    </xf>
    <xf numFmtId="49" fontId="15" fillId="37" borderId="61" xfId="0" applyNumberFormat="1" applyFont="1" applyFill="1" applyBorder="1" applyAlignment="1" applyProtection="1">
      <alignment horizontal="left" vertical="center" wrapText="1"/>
      <protection locked="0" hidden="1"/>
    </xf>
    <xf numFmtId="49" fontId="15" fillId="37" borderId="10" xfId="0" applyNumberFormat="1" applyFont="1" applyFill="1" applyBorder="1" applyAlignment="1" applyProtection="1">
      <alignment horizontal="left" vertical="center" wrapText="1"/>
      <protection locked="0" hidden="1"/>
    </xf>
    <xf numFmtId="49" fontId="15" fillId="37" borderId="37" xfId="0" applyNumberFormat="1" applyFont="1" applyFill="1" applyBorder="1" applyAlignment="1" applyProtection="1">
      <alignment horizontal="left" vertical="center" wrapText="1"/>
      <protection locked="0" hidden="1"/>
    </xf>
    <xf numFmtId="49" fontId="15" fillId="37" borderId="22" xfId="0" applyNumberFormat="1" applyFont="1"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F010000}"/>
    <cellStyle name="Neutral 2" xfId="497" xr:uid="{00000000-0005-0000-0000-0000F0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24">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bgColor indexed="13"/>
        </patternFill>
      </fill>
    </dxf>
    <dxf>
      <fill>
        <patternFill patternType="solid">
          <fgColor indexed="34"/>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3"/>
      <c r="B2" s="38" t="s">
        <v>870</v>
      </c>
      <c r="C2" s="36"/>
      <c r="D2" s="208"/>
      <c r="E2" s="3"/>
      <c r="F2" s="36"/>
      <c r="G2" s="34"/>
    </row>
    <row r="3" spans="1:7">
      <c r="A3" s="353"/>
      <c r="B3" s="5" t="s">
        <v>862</v>
      </c>
      <c r="C3" s="6"/>
      <c r="D3" s="209"/>
      <c r="E3" s="3"/>
      <c r="F3" s="6"/>
      <c r="G3" s="34"/>
    </row>
    <row r="4" spans="1:7" ht="15.75">
      <c r="A4" s="353"/>
      <c r="B4" s="41" t="s">
        <v>872</v>
      </c>
      <c r="C4" s="7"/>
      <c r="D4" s="210"/>
      <c r="E4" s="3"/>
      <c r="F4" s="7"/>
      <c r="G4" s="34"/>
    </row>
    <row r="5" spans="1:7">
      <c r="A5" s="353"/>
      <c r="B5" s="40" t="s">
        <v>1063</v>
      </c>
      <c r="C5" s="4"/>
      <c r="D5" s="211"/>
      <c r="E5" s="3"/>
      <c r="F5" s="4"/>
      <c r="G5" s="34"/>
    </row>
    <row r="6" spans="1:7">
      <c r="A6" s="353"/>
      <c r="B6" s="8"/>
      <c r="C6" s="8"/>
      <c r="D6" s="212"/>
      <c r="E6" s="8"/>
      <c r="F6" s="8"/>
      <c r="G6" s="34"/>
    </row>
    <row r="7" spans="1:7">
      <c r="A7" s="353"/>
      <c r="B7" s="8"/>
      <c r="C7" s="8"/>
      <c r="D7" s="212"/>
      <c r="E7" s="8"/>
      <c r="F7" s="8"/>
      <c r="G7" s="34"/>
    </row>
    <row r="8" spans="1:7">
      <c r="A8" s="353"/>
      <c r="B8" s="8"/>
      <c r="C8" s="8"/>
      <c r="D8" s="212"/>
      <c r="E8" s="8"/>
      <c r="F8" s="8"/>
      <c r="G8" s="34"/>
    </row>
    <row r="9" spans="1:7">
      <c r="A9" s="353"/>
      <c r="B9" s="356" t="s">
        <v>873</v>
      </c>
      <c r="C9" s="356"/>
      <c r="D9" s="356"/>
      <c r="E9" s="356"/>
      <c r="F9" s="356"/>
      <c r="G9" s="34"/>
    </row>
    <row r="10" spans="1:7" ht="27" customHeight="1">
      <c r="A10" s="353"/>
      <c r="B10" s="357" t="s">
        <v>448</v>
      </c>
      <c r="C10" s="357"/>
      <c r="D10" s="357"/>
      <c r="E10" s="357"/>
      <c r="F10" s="357"/>
      <c r="G10" s="34"/>
    </row>
    <row r="11" spans="1:7" ht="27" customHeight="1">
      <c r="A11" s="353"/>
      <c r="B11" s="358"/>
      <c r="C11" s="358"/>
      <c r="D11" s="358"/>
      <c r="E11" s="358"/>
      <c r="F11" s="358"/>
      <c r="G11" s="34"/>
    </row>
    <row r="12" spans="1:7">
      <c r="A12" s="353"/>
      <c r="B12" s="42" t="s">
        <v>871</v>
      </c>
      <c r="C12" s="43" t="s">
        <v>874</v>
      </c>
      <c r="D12" s="213" t="s">
        <v>875</v>
      </c>
      <c r="E12" s="43" t="s">
        <v>628</v>
      </c>
      <c r="F12" s="43" t="s">
        <v>629</v>
      </c>
      <c r="G12" s="34"/>
    </row>
    <row r="13" spans="1:7" ht="33.75">
      <c r="A13" s="353"/>
      <c r="B13" s="2">
        <v>1</v>
      </c>
      <c r="C13" s="37" t="s">
        <v>1111</v>
      </c>
      <c r="D13" s="39" t="s">
        <v>899</v>
      </c>
      <c r="E13" s="196" t="s">
        <v>876</v>
      </c>
      <c r="F13" s="196"/>
      <c r="G13" s="34"/>
    </row>
    <row r="14" spans="1:7" ht="33.75">
      <c r="A14" s="353"/>
      <c r="B14" s="2">
        <v>2</v>
      </c>
      <c r="C14" s="37" t="s">
        <v>1111</v>
      </c>
      <c r="D14" s="39" t="s">
        <v>1048</v>
      </c>
      <c r="E14" s="196" t="s">
        <v>540</v>
      </c>
      <c r="F14" s="196" t="s">
        <v>541</v>
      </c>
      <c r="G14" s="34"/>
    </row>
    <row r="15" spans="1:7" ht="89.1" customHeight="1">
      <c r="A15" s="353"/>
      <c r="B15" s="359">
        <v>2.0099999999999998</v>
      </c>
      <c r="C15" s="350" t="s">
        <v>1111</v>
      </c>
      <c r="D15" s="362" t="s">
        <v>2358</v>
      </c>
      <c r="E15" s="197" t="s">
        <v>630</v>
      </c>
      <c r="F15" s="197" t="s">
        <v>633</v>
      </c>
      <c r="G15" s="34"/>
    </row>
    <row r="16" spans="1:7" ht="99" customHeight="1">
      <c r="A16" s="353"/>
      <c r="B16" s="360"/>
      <c r="C16" s="351"/>
      <c r="D16" s="363"/>
      <c r="E16" s="198"/>
      <c r="F16" s="198" t="s">
        <v>631</v>
      </c>
      <c r="G16" s="34"/>
    </row>
    <row r="17" spans="1:7" ht="63" customHeight="1">
      <c r="A17" s="353"/>
      <c r="B17" s="361"/>
      <c r="C17" s="352"/>
      <c r="D17" s="364"/>
      <c r="E17" s="37"/>
      <c r="F17" s="37" t="s">
        <v>632</v>
      </c>
      <c r="G17" s="34"/>
    </row>
    <row r="18" spans="1:7" ht="117" customHeight="1">
      <c r="A18" s="353"/>
      <c r="B18" s="359">
        <v>2.02</v>
      </c>
      <c r="C18" s="350" t="s">
        <v>1111</v>
      </c>
      <c r="D18" s="362" t="s">
        <v>2359</v>
      </c>
      <c r="E18" s="197" t="s">
        <v>449</v>
      </c>
      <c r="F18" s="197" t="s">
        <v>535</v>
      </c>
      <c r="G18" s="34"/>
    </row>
    <row r="19" spans="1:7" ht="71.099999999999994" customHeight="1">
      <c r="A19" s="353"/>
      <c r="B19" s="360"/>
      <c r="C19" s="351"/>
      <c r="D19" s="363"/>
      <c r="E19" s="198" t="s">
        <v>539</v>
      </c>
      <c r="F19" s="198" t="s">
        <v>450</v>
      </c>
      <c r="G19" s="34"/>
    </row>
    <row r="20" spans="1:7" ht="90.75" customHeight="1">
      <c r="A20" s="353"/>
      <c r="B20" s="360"/>
      <c r="C20" s="351"/>
      <c r="D20" s="363"/>
      <c r="E20" s="198"/>
      <c r="F20" s="198" t="s">
        <v>635</v>
      </c>
      <c r="G20" s="34"/>
    </row>
    <row r="21" spans="1:7" ht="74.25" customHeight="1">
      <c r="A21" s="353"/>
      <c r="B21" s="361"/>
      <c r="C21" s="352"/>
      <c r="D21" s="364"/>
      <c r="E21" s="37"/>
      <c r="F21" s="37" t="s">
        <v>634</v>
      </c>
      <c r="G21" s="34"/>
    </row>
    <row r="22" spans="1:7" ht="90" customHeight="1">
      <c r="A22" s="353"/>
      <c r="B22" s="368">
        <v>2.0299999999999998</v>
      </c>
      <c r="C22" s="368" t="s">
        <v>845</v>
      </c>
      <c r="D22" s="347" t="s">
        <v>2360</v>
      </c>
      <c r="E22" s="350" t="s">
        <v>447</v>
      </c>
      <c r="F22" s="197" t="s">
        <v>470</v>
      </c>
      <c r="G22" s="34"/>
    </row>
    <row r="23" spans="1:7" ht="109.5" customHeight="1">
      <c r="A23" s="353"/>
      <c r="B23" s="369"/>
      <c r="C23" s="369"/>
      <c r="D23" s="348"/>
      <c r="E23" s="351"/>
      <c r="F23" s="198" t="s">
        <v>846</v>
      </c>
      <c r="G23" s="34"/>
    </row>
    <row r="24" spans="1:7" ht="74.25" customHeight="1">
      <c r="A24" s="353"/>
      <c r="B24" s="370"/>
      <c r="C24" s="370"/>
      <c r="D24" s="349"/>
      <c r="E24" s="352"/>
      <c r="F24" s="37" t="s">
        <v>446</v>
      </c>
      <c r="G24" s="34"/>
    </row>
    <row r="25" spans="1:7" ht="72" customHeight="1">
      <c r="A25" s="353"/>
      <c r="B25" s="2" t="s">
        <v>468</v>
      </c>
      <c r="C25" s="37" t="s">
        <v>469</v>
      </c>
      <c r="D25" s="39" t="s">
        <v>2361</v>
      </c>
      <c r="E25" s="37" t="s">
        <v>2356</v>
      </c>
      <c r="F25" s="37" t="s">
        <v>471</v>
      </c>
      <c r="G25" s="34"/>
    </row>
    <row r="26" spans="1:7" ht="98.1" customHeight="1">
      <c r="A26" s="353"/>
      <c r="B26" s="365">
        <v>3</v>
      </c>
      <c r="C26" s="359" t="s">
        <v>72</v>
      </c>
      <c r="D26" s="362" t="s">
        <v>2362</v>
      </c>
      <c r="E26" s="350" t="s">
        <v>0</v>
      </c>
      <c r="F26" s="197" t="s">
        <v>66</v>
      </c>
      <c r="G26" s="34"/>
    </row>
    <row r="27" spans="1:7" ht="90" customHeight="1">
      <c r="A27" s="353"/>
      <c r="B27" s="366"/>
      <c r="C27" s="360"/>
      <c r="D27" s="363"/>
      <c r="E27" s="351"/>
      <c r="F27" s="198" t="s">
        <v>61</v>
      </c>
      <c r="G27" s="34"/>
    </row>
    <row r="28" spans="1:7" ht="19.350000000000001" customHeight="1">
      <c r="A28" s="353"/>
      <c r="B28" s="366"/>
      <c r="C28" s="360"/>
      <c r="D28" s="363"/>
      <c r="E28" s="351"/>
      <c r="F28" s="198" t="s">
        <v>62</v>
      </c>
      <c r="G28" s="34"/>
    </row>
    <row r="29" spans="1:7" ht="74.650000000000006" customHeight="1">
      <c r="A29" s="353"/>
      <c r="B29" s="366"/>
      <c r="C29" s="360"/>
      <c r="D29" s="363"/>
      <c r="E29" s="351"/>
      <c r="F29" s="198" t="s">
        <v>63</v>
      </c>
      <c r="G29" s="34"/>
    </row>
    <row r="30" spans="1:7" ht="62.65" customHeight="1">
      <c r="A30" s="353"/>
      <c r="B30" s="366"/>
      <c r="C30" s="360"/>
      <c r="D30" s="363"/>
      <c r="E30" s="351"/>
      <c r="F30" s="198" t="s">
        <v>64</v>
      </c>
      <c r="G30" s="34"/>
    </row>
    <row r="31" spans="1:7" ht="81" customHeight="1">
      <c r="A31" s="353"/>
      <c r="B31" s="366"/>
      <c r="C31" s="360"/>
      <c r="D31" s="363"/>
      <c r="E31" s="351"/>
      <c r="F31" s="198" t="s">
        <v>65</v>
      </c>
      <c r="G31" s="34"/>
    </row>
    <row r="32" spans="1:7" ht="48.75" customHeight="1">
      <c r="A32" s="353"/>
      <c r="B32" s="366"/>
      <c r="C32" s="360"/>
      <c r="D32" s="363"/>
      <c r="E32" s="351"/>
      <c r="F32" s="198" t="s">
        <v>68</v>
      </c>
      <c r="G32" s="34"/>
    </row>
    <row r="33" spans="1:7" ht="98.65" customHeight="1">
      <c r="A33" s="353"/>
      <c r="B33" s="366"/>
      <c r="C33" s="360"/>
      <c r="D33" s="363"/>
      <c r="E33" s="351"/>
      <c r="F33" s="198" t="s">
        <v>67</v>
      </c>
      <c r="G33" s="34"/>
    </row>
    <row r="34" spans="1:7" ht="89.1" customHeight="1">
      <c r="A34" s="353"/>
      <c r="B34" s="366"/>
      <c r="C34" s="360"/>
      <c r="D34" s="363"/>
      <c r="E34" s="351"/>
      <c r="F34" s="198" t="s">
        <v>69</v>
      </c>
      <c r="G34" s="34"/>
    </row>
    <row r="35" spans="1:7" ht="29.1" customHeight="1">
      <c r="A35" s="353"/>
      <c r="B35" s="366"/>
      <c r="C35" s="360"/>
      <c r="D35" s="363"/>
      <c r="E35" s="351"/>
      <c r="F35" s="198" t="s">
        <v>70</v>
      </c>
      <c r="G35" s="34"/>
    </row>
    <row r="36" spans="1:7" ht="126.75">
      <c r="A36" s="353"/>
      <c r="B36" s="367"/>
      <c r="C36" s="361"/>
      <c r="D36" s="364"/>
      <c r="E36" s="352"/>
      <c r="F36" s="199" t="s">
        <v>71</v>
      </c>
      <c r="G36" s="34"/>
    </row>
    <row r="37" spans="1:7" ht="112.5">
      <c r="A37" s="353"/>
      <c r="B37" s="171">
        <v>3.01</v>
      </c>
      <c r="C37" s="172" t="s">
        <v>72</v>
      </c>
      <c r="D37" s="39" t="s">
        <v>2363</v>
      </c>
      <c r="E37" s="200" t="s">
        <v>1351</v>
      </c>
      <c r="F37" s="201" t="s">
        <v>1457</v>
      </c>
      <c r="G37" s="34"/>
    </row>
    <row r="38" spans="1:7" ht="101.25">
      <c r="A38" s="353"/>
      <c r="B38" s="171">
        <v>3.02</v>
      </c>
      <c r="C38" s="172" t="s">
        <v>1384</v>
      </c>
      <c r="D38" s="39" t="s">
        <v>2364</v>
      </c>
      <c r="E38" s="200" t="s">
        <v>1399</v>
      </c>
      <c r="F38" s="201" t="s">
        <v>1458</v>
      </c>
      <c r="G38" s="34"/>
    </row>
    <row r="39" spans="1:7" ht="101.25">
      <c r="A39" s="353"/>
      <c r="B39" s="182">
        <v>4</v>
      </c>
      <c r="C39" s="181" t="s">
        <v>1554</v>
      </c>
      <c r="D39" s="39" t="s">
        <v>2365</v>
      </c>
      <c r="E39" s="37" t="s">
        <v>2307</v>
      </c>
      <c r="F39" s="37" t="s">
        <v>1555</v>
      </c>
      <c r="G39" s="34"/>
    </row>
    <row r="40" spans="1:7" ht="56.25">
      <c r="A40" s="353"/>
      <c r="B40" s="171">
        <v>4.01</v>
      </c>
      <c r="C40" s="181" t="s">
        <v>1554</v>
      </c>
      <c r="D40" s="39" t="s">
        <v>2367</v>
      </c>
      <c r="E40" s="37" t="s">
        <v>2321</v>
      </c>
      <c r="F40" s="37" t="s">
        <v>2326</v>
      </c>
      <c r="G40" s="34"/>
    </row>
    <row r="41" spans="1:7" ht="56.25">
      <c r="A41" s="353"/>
      <c r="B41" s="171" t="s">
        <v>2354</v>
      </c>
      <c r="C41" s="181" t="s">
        <v>1554</v>
      </c>
      <c r="D41" s="39" t="s">
        <v>2366</v>
      </c>
      <c r="E41" s="37" t="s">
        <v>2357</v>
      </c>
      <c r="F41" s="37" t="s">
        <v>2355</v>
      </c>
      <c r="G41" s="34"/>
    </row>
    <row r="42" spans="1:7" ht="56.25">
      <c r="A42" s="353"/>
      <c r="B42" s="171" t="s">
        <v>2399</v>
      </c>
      <c r="C42" s="181" t="s">
        <v>1554</v>
      </c>
      <c r="D42" s="39" t="s">
        <v>2406</v>
      </c>
      <c r="E42" s="37" t="s">
        <v>2356</v>
      </c>
      <c r="F42" s="37" t="s">
        <v>2400</v>
      </c>
      <c r="G42" s="34"/>
    </row>
    <row r="43" spans="1:7" ht="123.75">
      <c r="A43" s="353"/>
      <c r="B43" s="193">
        <v>4.0999999999999996</v>
      </c>
      <c r="C43" s="181" t="s">
        <v>2405</v>
      </c>
      <c r="D43" s="194">
        <v>42867</v>
      </c>
      <c r="E43" s="202" t="s">
        <v>2408</v>
      </c>
      <c r="F43" s="37" t="s">
        <v>2407</v>
      </c>
      <c r="G43" s="34"/>
    </row>
    <row r="44" spans="1:7" ht="78.75">
      <c r="A44" s="353"/>
      <c r="B44" s="193">
        <v>4.2</v>
      </c>
      <c r="C44" s="181" t="s">
        <v>2405</v>
      </c>
      <c r="D44" s="194">
        <v>42704</v>
      </c>
      <c r="E44" s="202" t="s">
        <v>2625</v>
      </c>
      <c r="F44" s="37" t="s">
        <v>2598</v>
      </c>
      <c r="G44" s="34"/>
    </row>
    <row r="45" spans="1:7" ht="157.5">
      <c r="A45" s="353"/>
      <c r="B45" s="243">
        <v>5</v>
      </c>
      <c r="C45" s="181" t="s">
        <v>2405</v>
      </c>
      <c r="D45" s="194">
        <v>42867</v>
      </c>
      <c r="E45" s="202" t="s">
        <v>13032</v>
      </c>
      <c r="F45" s="37" t="s">
        <v>12754</v>
      </c>
      <c r="G45" s="34"/>
    </row>
    <row r="46" spans="1:7" ht="45">
      <c r="A46" s="353"/>
      <c r="B46" s="193">
        <v>5.01</v>
      </c>
      <c r="C46" s="181" t="s">
        <v>2405</v>
      </c>
      <c r="D46" s="194">
        <v>42907</v>
      </c>
      <c r="E46" s="202" t="s">
        <v>13052</v>
      </c>
      <c r="F46" s="37" t="s">
        <v>12754</v>
      </c>
      <c r="G46" s="34"/>
    </row>
    <row r="47" spans="1:7" ht="67.5">
      <c r="A47" s="353"/>
      <c r="B47" s="193">
        <v>5.0999999999999996</v>
      </c>
      <c r="C47" s="181" t="s">
        <v>2405</v>
      </c>
      <c r="D47" s="194">
        <v>43070</v>
      </c>
      <c r="E47" s="202" t="s">
        <v>13247</v>
      </c>
      <c r="F47" s="37" t="s">
        <v>13248</v>
      </c>
      <c r="G47" s="34"/>
    </row>
    <row r="48" spans="1:7" ht="56.25">
      <c r="A48" s="353"/>
      <c r="B48" s="193">
        <v>5.1100000000000003</v>
      </c>
      <c r="C48" s="181" t="s">
        <v>13489</v>
      </c>
      <c r="D48" s="194">
        <v>43217</v>
      </c>
      <c r="E48" s="202" t="s">
        <v>13617</v>
      </c>
      <c r="F48" s="37" t="s">
        <v>13523</v>
      </c>
      <c r="G48" s="34"/>
    </row>
    <row r="49" spans="1:7" ht="56.25">
      <c r="A49" s="353"/>
      <c r="B49" s="193">
        <v>5.12</v>
      </c>
      <c r="C49" s="181" t="s">
        <v>13489</v>
      </c>
      <c r="D49" s="194">
        <v>43581</v>
      </c>
      <c r="E49" s="202" t="s">
        <v>13617</v>
      </c>
      <c r="F49" s="37" t="s">
        <v>14191</v>
      </c>
      <c r="G49" s="34"/>
    </row>
    <row r="50" spans="1:7" ht="78.75">
      <c r="A50" s="353"/>
      <c r="B50" s="243">
        <v>6</v>
      </c>
      <c r="C50" s="181" t="s">
        <v>13489</v>
      </c>
      <c r="D50" s="194">
        <v>43964</v>
      </c>
      <c r="E50" s="202" t="s">
        <v>14433</v>
      </c>
      <c r="F50" s="37" t="s">
        <v>14204</v>
      </c>
      <c r="G50" s="34"/>
    </row>
    <row r="51" spans="1:7" ht="45">
      <c r="A51" s="353"/>
      <c r="B51" s="193">
        <v>6.01</v>
      </c>
      <c r="C51" s="181" t="s">
        <v>13489</v>
      </c>
      <c r="D51" s="194">
        <v>43970</v>
      </c>
      <c r="E51" s="202" t="s">
        <v>15503</v>
      </c>
      <c r="F51" s="202" t="s">
        <v>14204</v>
      </c>
      <c r="G51" s="34"/>
    </row>
    <row r="52" spans="1:7" ht="13.5" thickBot="1">
      <c r="A52" s="354"/>
      <c r="B52" s="355" t="str">
        <f ca="1">OFFSET(L!$C$1,MATCH("General"&amp;"Cpy",L!$A:$A,0)-1,SL,,)</f>
        <v>© 2020 Responsible Minerals Initiative. All rights reserved.</v>
      </c>
      <c r="C52" s="355"/>
      <c r="D52" s="355"/>
      <c r="E52" s="355"/>
      <c r="F52" s="355"/>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4.150000000000006"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5">
      <c r="A10" s="87"/>
      <c r="B10" s="74" t="str">
        <f ca="1">OFFSET(L!$C$1,MATCH("Definitions"&amp;ADDRESS(ROW(),COLUMN(),4),L!$A:$A,0)-1,SL,,)</f>
        <v>DRC</v>
      </c>
      <c r="C10" s="74" t="str">
        <f ca="1">OFFSET(L!$C$1,MATCH("Definitions"&amp;ADDRESS(ROW(),COLUMN(),4),L!$A:$A,0)-1,SL,,)</f>
        <v>Democratic Republic of Congo</v>
      </c>
      <c r="D10" s="37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5">
      <c r="A32" s="87"/>
      <c r="B32" s="374" t="str">
        <f ca="1">OFFSET(L!$C$1,MATCH("General"&amp;"Cpy",L!$A:$A,0)-1,SL,,)</f>
        <v>© 2020 Responsible Minerals Initiative. All rights reserved.</v>
      </c>
      <c r="C32" s="374"/>
      <c r="D32" s="375"/>
      <c r="E32" s="128"/>
    </row>
    <row r="33" spans="1:4" ht="13.5" thickBot="1">
      <c r="A33" s="88"/>
      <c r="B33" s="185"/>
      <c r="C33" s="185"/>
      <c r="D33" s="376"/>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76"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1" t="str">
        <f ca="1">OFFSET(L!$C$1,MATCH("Declaration"&amp;ADDRESS(ROW(),COLUMN(),4),L!$A:$A,0)-1,SL,,)</f>
        <v>Conflict Minerals Reporting Template (CMRT)</v>
      </c>
      <c r="E2" s="412"/>
      <c r="F2" s="412"/>
      <c r="G2" s="412"/>
      <c r="H2" s="412"/>
      <c r="I2" s="412"/>
      <c r="J2" s="41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1"/>
      <c r="G3" s="421"/>
      <c r="H3" s="421"/>
      <c r="I3" s="184"/>
      <c r="J3" s="168" t="s">
        <v>15505</v>
      </c>
      <c r="K3" s="47"/>
      <c r="L3" s="139"/>
      <c r="M3" s="130"/>
      <c r="N3" s="130"/>
      <c r="O3" s="131"/>
      <c r="P3" s="144">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4" t="s">
        <v>15506</v>
      </c>
      <c r="E8" s="415"/>
      <c r="F8" s="415"/>
      <c r="G8" s="415"/>
      <c r="H8" s="415"/>
      <c r="I8" s="415"/>
      <c r="J8" s="41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3" t="s">
        <v>504</v>
      </c>
      <c r="E9" s="424"/>
      <c r="F9" s="424"/>
      <c r="G9" s="425"/>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27" t="str">
        <f ca="1">OFFSET(L!$C$1,MATCH("Declaration"&amp;ADDRESS(ROW(),COLUMN(),4)&amp;LEFT($D$9,1),L!$A:$A,0)-1,SL,,)</f>
        <v>Description of Scope:</v>
      </c>
      <c r="C10" s="151"/>
      <c r="D10" s="418"/>
      <c r="E10" s="419"/>
      <c r="F10" s="419"/>
      <c r="G10" s="419"/>
      <c r="H10" s="419"/>
      <c r="I10" s="419"/>
      <c r="J10" s="42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8"/>
      <c r="C11" s="151"/>
      <c r="D11" s="392" t="str">
        <f ca="1">IF(D9=Q9,OFFSET(L!$C$1,MATCH("Declaration"&amp;ADDRESS(ROW(),COLUMN(),4),L!$A:$A,0)-1,SL,,),"")</f>
        <v/>
      </c>
      <c r="E11" s="393"/>
      <c r="F11" s="393"/>
      <c r="G11" s="393"/>
      <c r="H11" s="393"/>
      <c r="I11" s="393"/>
      <c r="J11" s="39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1" t="s">
        <v>15507</v>
      </c>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1" t="s">
        <v>15508</v>
      </c>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47" t="s">
        <v>15509</v>
      </c>
      <c r="E14" s="447"/>
      <c r="F14" s="447"/>
      <c r="G14" s="447"/>
      <c r="H14" s="447"/>
      <c r="I14" s="447"/>
      <c r="J14" s="44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1" t="s">
        <v>15510</v>
      </c>
      <c r="E15" s="402"/>
      <c r="F15" s="402"/>
      <c r="G15" s="402"/>
      <c r="H15" s="402"/>
      <c r="I15" s="402"/>
      <c r="J15" s="40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9" t="s">
        <v>15511</v>
      </c>
      <c r="E16" s="430"/>
      <c r="F16" s="430"/>
      <c r="G16" s="430"/>
      <c r="H16" s="430"/>
      <c r="I16" s="430"/>
      <c r="J16" s="43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48" t="s">
        <v>15512</v>
      </c>
      <c r="E17" s="449"/>
      <c r="F17" s="449"/>
      <c r="G17" s="449"/>
      <c r="H17" s="449"/>
      <c r="I17" s="449"/>
      <c r="J17" s="45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51" t="s">
        <v>15510</v>
      </c>
      <c r="E18" s="451"/>
      <c r="F18" s="451"/>
      <c r="G18" s="451"/>
      <c r="H18" s="451"/>
      <c r="I18" s="451"/>
      <c r="J18" s="45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1" t="s">
        <v>15513</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9" t="s">
        <v>15511</v>
      </c>
      <c r="E20" s="430"/>
      <c r="F20" s="430"/>
      <c r="G20" s="430"/>
      <c r="H20" s="430"/>
      <c r="I20" s="430"/>
      <c r="J20" s="43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51" t="s">
        <v>15512</v>
      </c>
      <c r="E21" s="451"/>
      <c r="F21" s="451"/>
      <c r="G21" s="451"/>
      <c r="H21" s="451"/>
      <c r="I21" s="451"/>
      <c r="J21" s="45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2">
        <v>43985</v>
      </c>
      <c r="E22" s="433"/>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4"/>
      <c r="E23" s="40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1 - 8 based on the declaration scope indicated above</v>
      </c>
      <c r="C24" s="434"/>
      <c r="D24" s="434"/>
      <c r="E24" s="434"/>
      <c r="F24" s="434"/>
      <c r="G24" s="434"/>
      <c r="H24" s="434"/>
      <c r="I24" s="434"/>
      <c r="J24" s="43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499</v>
      </c>
      <c r="E26" s="378"/>
      <c r="F26" s="15"/>
      <c r="G26" s="379"/>
      <c r="H26" s="380"/>
      <c r="I26" s="380"/>
      <c r="J26" s="38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498</v>
      </c>
      <c r="E27" s="378"/>
      <c r="F27" s="15"/>
      <c r="G27" s="379"/>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498</v>
      </c>
      <c r="E28" s="378"/>
      <c r="F28" s="15"/>
      <c r="G28" s="379"/>
      <c r="H28" s="380"/>
      <c r="I28" s="380"/>
      <c r="J28" s="38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498</v>
      </c>
      <c r="E29" s="378"/>
      <c r="F29" s="15"/>
      <c r="G29" s="379"/>
      <c r="H29" s="380"/>
      <c r="I29" s="380"/>
      <c r="J29" s="38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498</v>
      </c>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498</v>
      </c>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498</v>
      </c>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499</v>
      </c>
      <c r="E39" s="378"/>
      <c r="F39" s="58"/>
      <c r="G39" s="379"/>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499</v>
      </c>
      <c r="E40" s="378"/>
      <c r="F40" s="58"/>
      <c r="G40" s="379"/>
      <c r="H40" s="380"/>
      <c r="I40" s="380"/>
      <c r="J40" s="38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499</v>
      </c>
      <c r="E41" s="378"/>
      <c r="F41" s="58"/>
      <c r="G41" s="379"/>
      <c r="H41" s="380"/>
      <c r="I41" s="380"/>
      <c r="J41" s="38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7"/>
      <c r="E44" s="378"/>
      <c r="F44" s="58"/>
      <c r="G44" s="379"/>
      <c r="H44" s="380"/>
      <c r="I44" s="380"/>
      <c r="J44" s="38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7" t="s">
        <v>499</v>
      </c>
      <c r="E45" s="378"/>
      <c r="F45" s="58"/>
      <c r="G45" s="379"/>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7" t="s">
        <v>499</v>
      </c>
      <c r="E46" s="378"/>
      <c r="F46" s="58"/>
      <c r="G46" s="379"/>
      <c r="H46" s="380"/>
      <c r="I46" s="380"/>
      <c r="J46" s="38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7" t="s">
        <v>499</v>
      </c>
      <c r="E47" s="378"/>
      <c r="F47" s="58"/>
      <c r="G47" s="379"/>
      <c r="H47" s="380"/>
      <c r="I47" s="380"/>
      <c r="J47" s="38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7"/>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7" t="s">
        <v>499</v>
      </c>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7" t="s">
        <v>499</v>
      </c>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7" t="s">
        <v>499</v>
      </c>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8"/>
      <c r="E56" s="399"/>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8">
        <v>1</v>
      </c>
      <c r="E57" s="399"/>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8">
        <v>1</v>
      </c>
      <c r="E58" s="399"/>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8">
        <v>1</v>
      </c>
      <c r="E59" s="399"/>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7" t="str">
        <f ca="1">D25</f>
        <v>Answer</v>
      </c>
      <c r="E61" s="397"/>
      <c r="F61" s="21"/>
      <c r="G61" s="55" t="str">
        <f ca="1">G25</f>
        <v>Comments</v>
      </c>
      <c r="H61" s="390"/>
      <c r="I61" s="390"/>
      <c r="J61" s="39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7" t="s">
        <v>498</v>
      </c>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7" t="s">
        <v>498</v>
      </c>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7" t="s">
        <v>498</v>
      </c>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0" t="str">
        <f>IF(Q75="(*)","Click here to enter smelter names","")</f>
        <v/>
      </c>
      <c r="I67" s="390"/>
      <c r="J67" s="39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7"/>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7" t="s">
        <v>498</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7" t="s">
        <v>498</v>
      </c>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7" t="s">
        <v>498</v>
      </c>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2" t="str">
        <f ca="1">OFFSET(L!$C$1,MATCH("Declaration"&amp;ADDRESS(ROW(),COLUMN(),4),L!$A:$A,0)-1,SL,,)</f>
        <v>Answer the Following Questions at a Company Level</v>
      </c>
      <c r="C73" s="382"/>
      <c r="D73" s="382"/>
      <c r="E73" s="382"/>
      <c r="F73" s="382"/>
      <c r="G73" s="382"/>
      <c r="H73" s="382"/>
      <c r="I73" s="382"/>
      <c r="J73" s="38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1" t="str">
        <f ca="1">D25</f>
        <v>Answer</v>
      </c>
      <c r="E74" s="391"/>
      <c r="F74" s="64"/>
      <c r="G74" s="391" t="str">
        <f ca="1">G25</f>
        <v>Comments</v>
      </c>
      <c r="H74" s="391" t="e">
        <f>HLOOKUP(SL,LT,$O74,0)</f>
        <v>#NAME?</v>
      </c>
      <c r="I74" s="39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8"/>
      <c r="H76" s="388"/>
      <c r="I76" s="388"/>
      <c r="J76" s="38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499</v>
      </c>
      <c r="E77" s="378"/>
      <c r="F77" s="68"/>
      <c r="G77" s="405"/>
      <c r="H77" s="406"/>
      <c r="I77" s="406"/>
      <c r="J77" s="40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15442</v>
      </c>
      <c r="E83" s="378"/>
      <c r="F83" s="68"/>
      <c r="G83" s="379"/>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6" t="s">
        <v>498</v>
      </c>
      <c r="E85" s="387"/>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8"/>
      <c r="H86" s="388"/>
      <c r="I86" s="388"/>
      <c r="J86" s="38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7" t="s">
        <v>498</v>
      </c>
      <c r="E87" s="378"/>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89"/>
      <c r="H88" s="389"/>
      <c r="I88" s="389"/>
      <c r="J88" s="38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7" t="s">
        <v>499</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5" t="str">
        <f>IF(OR($D$8="",$I$3=""),"","Click here to check required fields completion")</f>
        <v/>
      </c>
      <c r="C90" s="385"/>
      <c r="D90" s="385"/>
      <c r="E90" s="385"/>
      <c r="F90" s="385"/>
      <c r="G90" s="385"/>
      <c r="H90" s="385"/>
      <c r="I90" s="385"/>
      <c r="J90" s="38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3" t="str">
        <f ca="1">OFFSET(L!$C$1,MATCH("General"&amp;"Cpy",L!$A:$A,0)-1,SL,,)</f>
        <v>© 2020 Responsible Minerals Initiative. All rights reserved.</v>
      </c>
      <c r="B91" s="384"/>
      <c r="C91" s="384"/>
      <c r="D91" s="384"/>
      <c r="E91" s="384"/>
      <c r="F91" s="384"/>
      <c r="G91" s="384"/>
      <c r="H91" s="384"/>
      <c r="I91" s="384"/>
      <c r="J91" s="38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23" priority="68" stopIfTrue="1">
      <formula>AND(OR($D$26="No",AND($D$26="Yes",$D$32="No")),OR($D$27="No",AND($D$27="Yes",$D$33="No")),OR($D$28="No",AND($D$28="Yes",$D$34="No")),OR($D$29="No",AND($D$29="Yes",$D$35="No")))</formula>
    </cfRule>
    <cfRule type="expression" dxfId="122" priority="69" stopIfTrue="1">
      <formula>IF(D75="",TRUE)</formula>
    </cfRule>
  </conditionalFormatting>
  <conditionalFormatting sqref="G77:J77">
    <cfRule type="expression" dxfId="121" priority="40" stopIfTrue="1">
      <formula>IF(AND($D$77="Yes",$G$77=""),TRUE)</formula>
    </cfRule>
  </conditionalFormatting>
  <conditionalFormatting sqref="D26:E26">
    <cfRule type="expression" dxfId="120" priority="120" stopIfTrue="1">
      <formula>IF($D$26="",TRUE)</formula>
    </cfRule>
  </conditionalFormatting>
  <conditionalFormatting sqref="D27:E27">
    <cfRule type="expression" dxfId="119" priority="127" stopIfTrue="1">
      <formula>IF($D$27="",TRUE)</formula>
    </cfRule>
  </conditionalFormatting>
  <conditionalFormatting sqref="D28:E28">
    <cfRule type="expression" dxfId="118" priority="128" stopIfTrue="1">
      <formula>IF($D$28="",TRUE)</formula>
    </cfRule>
  </conditionalFormatting>
  <conditionalFormatting sqref="D29:E29">
    <cfRule type="expression" dxfId="117" priority="129" stopIfTrue="1">
      <formula>IF($D$29="",TRUE)</formula>
    </cfRule>
  </conditionalFormatting>
  <conditionalFormatting sqref="D8:J8">
    <cfRule type="expression" dxfId="116" priority="134" stopIfTrue="1">
      <formula>IF($D$8="",TRUE)</formula>
    </cfRule>
  </conditionalFormatting>
  <conditionalFormatting sqref="D9:G9">
    <cfRule type="expression" dxfId="115" priority="135" stopIfTrue="1">
      <formula>IF($D$9="",TRUE)</formula>
    </cfRule>
  </conditionalFormatting>
  <conditionalFormatting sqref="D16:J16">
    <cfRule type="expression" dxfId="113" priority="137" stopIfTrue="1">
      <formula>IF($D$16="",TRUE)</formula>
    </cfRule>
  </conditionalFormatting>
  <conditionalFormatting sqref="D22:E22">
    <cfRule type="expression" dxfId="110" priority="142" stopIfTrue="1">
      <formula>IF($D$22="",TRUE)</formula>
    </cfRule>
  </conditionalFormatting>
  <conditionalFormatting sqref="D10:J10">
    <cfRule type="expression" dxfId="109" priority="39" stopIfTrue="1">
      <formula>IF($D$9=$Q$9,TRUE)</formula>
    </cfRule>
    <cfRule type="expression" dxfId="108" priority="149" stopIfTrue="1">
      <formula>IF(AND($D$10="",$D$9=$R$9),TRUE)</formula>
    </cfRule>
  </conditionalFormatting>
  <conditionalFormatting sqref="D34:E34 D40:E40 D52:E52 D58:E58 D64:E64 D70:E70">
    <cfRule type="expression" dxfId="107" priority="32" stopIfTrue="1">
      <formula>$P$28=""</formula>
    </cfRule>
  </conditionalFormatting>
  <conditionalFormatting sqref="D35:E35 D41:E41 D53:E53 D59:E59 D65:E65 D71:E71">
    <cfRule type="expression" dxfId="106" priority="147" stopIfTrue="1">
      <formula>$P$29=""</formula>
    </cfRule>
  </conditionalFormatting>
  <conditionalFormatting sqref="D32:E32">
    <cfRule type="expression" dxfId="105" priority="125" stopIfTrue="1">
      <formula>$P$26=""</formula>
    </cfRule>
  </conditionalFormatting>
  <conditionalFormatting sqref="D32:E32">
    <cfRule type="expression" dxfId="104" priority="38" stopIfTrue="1">
      <formula>IF(AND(OR($D$26="Yes",$D$26=""),$D$32=""),1,0)</formula>
    </cfRule>
  </conditionalFormatting>
  <conditionalFormatting sqref="D38 D50 D56 D62 D68">
    <cfRule type="expression" dxfId="103" priority="34" stopIfTrue="1">
      <formula>$P$32=""</formula>
    </cfRule>
  </conditionalFormatting>
  <conditionalFormatting sqref="D39:E39 D51 D57 D63 D69">
    <cfRule type="expression" dxfId="102" priority="33" stopIfTrue="1">
      <formula>$P$33=""</formula>
    </cfRule>
  </conditionalFormatting>
  <conditionalFormatting sqref="D40 D52 D58 D64 D70">
    <cfRule type="expression" dxfId="101" priority="23" stopIfTrue="1">
      <formula>$P$34=""</formula>
    </cfRule>
    <cfRule type="expression" dxfId="100" priority="145" stopIfTrue="1">
      <formula>IF(AND(OR($D$28="Yes",$D$28=""),D40=""),1,0)</formula>
    </cfRule>
  </conditionalFormatting>
  <conditionalFormatting sqref="D41 D53 D59 D65 D71">
    <cfRule type="expression" dxfId="99" priority="31" stopIfTrue="1">
      <formula>$P$35=""</formula>
    </cfRule>
  </conditionalFormatting>
  <conditionalFormatting sqref="D38:E38 D50:E50 D56:E56 D62:E62 D68:E68">
    <cfRule type="expression" dxfId="98" priority="36" stopIfTrue="1">
      <formula>$P$26=""</formula>
    </cfRule>
    <cfRule type="expression" dxfId="97" priority="37" stopIfTrue="1">
      <formula>IF(AND(OR($D$26="Yes",$D$26=""),D38=""),1,0)</formula>
    </cfRule>
  </conditionalFormatting>
  <conditionalFormatting sqref="G85:J85">
    <cfRule type="expression" dxfId="96" priority="30" stopIfTrue="1">
      <formula>IF(AND($D$85="Yes, using other format (describe)",$G$85=""),TRUE)</formula>
    </cfRule>
  </conditionalFormatting>
  <conditionalFormatting sqref="D39:E39 D51:E51 D57:E57 D63:E63 D69:E69">
    <cfRule type="expression" dxfId="95" priority="143" stopIfTrue="1">
      <formula>$P$39=""</formula>
    </cfRule>
    <cfRule type="expression" dxfId="94" priority="144" stopIfTrue="1">
      <formula>IF(AND(OR($D$27="Yes",$D$27=""),D39=""),1,0)</formula>
    </cfRule>
  </conditionalFormatting>
  <conditionalFormatting sqref="D33:E33">
    <cfRule type="expression" dxfId="93" priority="25" stopIfTrue="1">
      <formula>IF(AND(OR($D$27="Yes",$D$27=""),$D$33=""),1,0)</formula>
    </cfRule>
    <cfRule type="expression" dxfId="92" priority="26" stopIfTrue="1">
      <formula>$P$27=""</formula>
    </cfRule>
  </conditionalFormatting>
  <conditionalFormatting sqref="D34:E34">
    <cfRule type="expression" dxfId="91" priority="146" stopIfTrue="1">
      <formula>IF(AND(OR($D$28="Yes",$D$28=""),$D$34=""),1,0)</formula>
    </cfRule>
  </conditionalFormatting>
  <conditionalFormatting sqref="D41:E41 D53:E53 D59:E59 D65:E65 D71:E71">
    <cfRule type="expression" dxfId="90" priority="148" stopIfTrue="1">
      <formula>IF(AND(OR($D$29="Yes",$D$29=""),D41=""),1,0)</formula>
    </cfRule>
  </conditionalFormatting>
  <conditionalFormatting sqref="D35:E35">
    <cfRule type="expression" dxfId="89" priority="22" stopIfTrue="1">
      <formula>IF(AND(OR($D$29="Yes",$D$29=""),$D$35=""),1,0)</formula>
    </cfRule>
  </conditionalFormatting>
  <conditionalFormatting sqref="D20:J20">
    <cfRule type="expression" dxfId="88" priority="18" stopIfTrue="1">
      <formula>IF($D$20="",TRUE)</formula>
    </cfRule>
  </conditionalFormatting>
  <conditionalFormatting sqref="D46:E46">
    <cfRule type="expression" dxfId="87" priority="8" stopIfTrue="1">
      <formula>$P$28=""</formula>
    </cfRule>
  </conditionalFormatting>
  <conditionalFormatting sqref="D47:E47">
    <cfRule type="expression" dxfId="86" priority="16" stopIfTrue="1">
      <formula>$P$29=""</formula>
    </cfRule>
  </conditionalFormatting>
  <conditionalFormatting sqref="D44">
    <cfRule type="expression" dxfId="85" priority="10" stopIfTrue="1">
      <formula>$P$32=""</formula>
    </cfRule>
  </conditionalFormatting>
  <conditionalFormatting sqref="D45">
    <cfRule type="expression" dxfId="84" priority="9" stopIfTrue="1">
      <formula>$P$33=""</formula>
    </cfRule>
  </conditionalFormatting>
  <conditionalFormatting sqref="D46">
    <cfRule type="expression" dxfId="83" priority="6" stopIfTrue="1">
      <formula>$P$34=""</formula>
    </cfRule>
    <cfRule type="expression" dxfId="82" priority="15" stopIfTrue="1">
      <formula>IF(AND(OR($D$28="Yes",$D$28=""),D46=""),1,0)</formula>
    </cfRule>
  </conditionalFormatting>
  <conditionalFormatting sqref="D47">
    <cfRule type="expression" dxfId="81" priority="7" stopIfTrue="1">
      <formula>$P$35=""</formula>
    </cfRule>
  </conditionalFormatting>
  <conditionalFormatting sqref="D44:E44">
    <cfRule type="expression" dxfId="80" priority="11" stopIfTrue="1">
      <formula>$P$26=""</formula>
    </cfRule>
    <cfRule type="expression" dxfId="79" priority="12" stopIfTrue="1">
      <formula>IF(AND(OR($D$26="Yes",$D$26=""),D44=""),1,0)</formula>
    </cfRule>
  </conditionalFormatting>
  <conditionalFormatting sqref="D45:E45">
    <cfRule type="expression" dxfId="78" priority="13" stopIfTrue="1">
      <formula>$P$39=""</formula>
    </cfRule>
    <cfRule type="expression" dxfId="77" priority="14" stopIfTrue="1">
      <formula>IF(AND(OR($D$27="Yes",$D$27=""),D45=""),1,0)</formula>
    </cfRule>
  </conditionalFormatting>
  <conditionalFormatting sqref="D47:E47">
    <cfRule type="expression" dxfId="76" priority="17" stopIfTrue="1">
      <formula>IF(AND(OR($D$29="Yes",$D$29=""),D47=""),1,0)</formula>
    </cfRule>
  </conditionalFormatting>
  <conditionalFormatting sqref="J14">
    <cfRule type="expression" dxfId="21" priority="5" stopIfTrue="1">
      <formula>IF($D$26="",TRUE)</formula>
    </cfRule>
  </conditionalFormatting>
  <conditionalFormatting sqref="D15:J15">
    <cfRule type="expression" dxfId="20" priority="4" stopIfTrue="1">
      <formula>IF($D$15="",TRUE)</formula>
    </cfRule>
  </conditionalFormatting>
  <conditionalFormatting sqref="D17:J17">
    <cfRule type="expression" dxfId="18" priority="3" stopIfTrue="1">
      <formula>IF($D$17="",TRUE)</formula>
    </cfRule>
  </conditionalFormatting>
  <conditionalFormatting sqref="D18:J18">
    <cfRule type="expression" dxfId="17" priority="2" stopIfTrue="1">
      <formula>IF($D$18="",TRUE)</formula>
    </cfRule>
  </conditionalFormatting>
  <conditionalFormatting sqref="D21:J21">
    <cfRule type="expression" dxfId="16" priority="1"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Q58"/>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5" t="str">
        <f ca="1">OFFSET(L!$C$1,MATCH("Smelter List"&amp;ADDRESS(ROW(),COLUMN(),4),L!$A:$A,0)-1,SL,,)</f>
        <v>Link to "RMAP Conformant Smelter List"</v>
      </c>
      <c r="K2" s="436"/>
      <c r="L2" s="436"/>
      <c r="M2" s="436"/>
      <c r="N2" s="436"/>
      <c r="O2" s="436"/>
      <c r="P2" s="234"/>
      <c r="Q2" s="235"/>
      <c r="R2" s="236"/>
      <c r="S2" s="236"/>
      <c r="T2" s="236"/>
      <c r="U2" s="267"/>
      <c r="V2" s="267"/>
      <c r="W2" s="268"/>
      <c r="X2" s="267"/>
      <c r="Y2" s="267"/>
      <c r="Z2" s="267"/>
      <c r="AH2" s="176" t="s">
        <v>498</v>
      </c>
    </row>
    <row r="3" spans="1:34" s="269" customFormat="1" ht="244.15"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70"/>
      <c r="G3" s="438" t="str">
        <f ca="1">OFFSET(L!$C$1,MATCH("General"&amp;"Cpy",L!$A:$A,0)-1,SL,,)</f>
        <v>© 2020 Responsible Minerals Initiative. All rights reserved.</v>
      </c>
      <c r="H3" s="438"/>
      <c r="I3" s="439"/>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216" t="s">
        <v>669</v>
      </c>
      <c r="B5" s="217" t="s">
        <v>1153</v>
      </c>
      <c r="C5" s="452" t="s">
        <v>1575</v>
      </c>
      <c r="D5" s="217" t="s">
        <v>1575</v>
      </c>
      <c r="E5" s="217" t="s">
        <v>1119</v>
      </c>
      <c r="F5" s="217" t="s">
        <v>669</v>
      </c>
      <c r="G5" s="217" t="s">
        <v>15514</v>
      </c>
      <c r="H5" s="453" t="s">
        <v>2483</v>
      </c>
      <c r="I5" s="454" t="s">
        <v>1576</v>
      </c>
      <c r="J5" s="454" t="s">
        <v>1577</v>
      </c>
      <c r="K5" s="455" t="s">
        <v>2483</v>
      </c>
      <c r="L5" s="455" t="s">
        <v>2483</v>
      </c>
      <c r="M5" s="455"/>
      <c r="N5" s="455" t="s">
        <v>15515</v>
      </c>
      <c r="O5" s="455" t="s">
        <v>15516</v>
      </c>
      <c r="P5" s="456" t="s">
        <v>498</v>
      </c>
      <c r="Q5" s="457" t="s">
        <v>15517</v>
      </c>
      <c r="R5" s="217" t="str">
        <f ca="1">IF(ISERROR($V5),"",OFFSET('Smelter Look-up'!$C$4,$V5-4,0)&amp;"")</f>
        <v>AngloGold Ashanti Corrego do Sitio Mineracao</v>
      </c>
      <c r="S5" s="225" t="str">
        <f t="shared" ref="S5" ca="1" si="0">IF(B5="","",IF(ISERROR(MATCH($E5,CL,0)),"Unknown",INDIRECT("'C'!$A$"&amp;MATCH($E5,CL,0)+1)))</f>
        <v>BR</v>
      </c>
      <c r="T5" s="225" t="str">
        <f ca="1">IF(B5="","",IF(ISERROR(MATCH($J5,SorP!$B$1:$B$6230,0)),"",INDIRECT("'SorP'!$A$"&amp;MATCH($J5,SorP!$B$1:$B$6230,0))))</f>
        <v>BR-MG</v>
      </c>
      <c r="U5" s="241"/>
      <c r="V5" s="275">
        <f>IF(C5="",NA(),MATCH($B5&amp;$C5,'Smelter Look-up'!$J:$J,0))</f>
        <v>19</v>
      </c>
      <c r="W5" s="276"/>
      <c r="X5" s="276">
        <f t="shared" ref="X5" si="1">IF(AND(C5="Smelter not listed",OR(LEN(D5)=0,LEN(E5)=0)),1,0)</f>
        <v>0</v>
      </c>
      <c r="Y5" s="276"/>
      <c r="Z5" s="276"/>
      <c r="AB5" s="278" t="str">
        <f t="shared" ref="AB5" si="2">B5&amp;C5</f>
        <v>GoldAngloGold Ashanti Córrego do Sítio Mineração</v>
      </c>
    </row>
    <row r="6" spans="1:34" s="277" customFormat="1" ht="19.899999999999999" customHeight="1">
      <c r="A6" s="216" t="s">
        <v>672</v>
      </c>
      <c r="B6" s="217" t="s">
        <v>1153</v>
      </c>
      <c r="C6" s="452" t="s">
        <v>2245</v>
      </c>
      <c r="D6" s="217" t="s">
        <v>2245</v>
      </c>
      <c r="E6" s="217" t="s">
        <v>1131</v>
      </c>
      <c r="F6" s="217" t="s">
        <v>672</v>
      </c>
      <c r="G6" s="217" t="s">
        <v>15514</v>
      </c>
      <c r="H6" s="453" t="s">
        <v>15518</v>
      </c>
      <c r="I6" s="454" t="s">
        <v>1583</v>
      </c>
      <c r="J6" s="454" t="s">
        <v>1584</v>
      </c>
      <c r="K6" s="455" t="s">
        <v>15519</v>
      </c>
      <c r="L6" s="455" t="s">
        <v>15520</v>
      </c>
      <c r="M6" s="455"/>
      <c r="N6" s="455" t="s">
        <v>15521</v>
      </c>
      <c r="O6" s="455" t="s">
        <v>15522</v>
      </c>
      <c r="P6" s="456" t="s">
        <v>498</v>
      </c>
      <c r="Q6" s="457" t="s">
        <v>15517</v>
      </c>
      <c r="R6" s="217" t="str">
        <f ca="1">IF(ISERROR($V6),"",OFFSET('Smelter Look-up'!$C$4,$V6-4,0)&amp;"")</f>
        <v>Asaka Riken Co., Ltd.</v>
      </c>
      <c r="S6" s="225" t="str">
        <f t="shared" ref="S6:S37" ca="1" si="3">IF(B6="","",IF(ISERROR(MATCH($E6,CL,0)),"Unknown",INDIRECT("'C'!$A$"&amp;MATCH($E6,CL,0)+1)))</f>
        <v>JP</v>
      </c>
      <c r="T6" s="225" t="str">
        <f ca="1">IF(B6="","",IF(ISERROR(MATCH($J6,SorP!$B$1:$B$6230,0)),"",INDIRECT("'SorP'!$A$"&amp;MATCH($J6,SorP!$B$1:$B$6230,0))))</f>
        <v>JP-07</v>
      </c>
      <c r="U6" s="241"/>
      <c r="V6" s="275">
        <f>IF(C6="",NA(),MATCH($B6&amp;$C6,'Smelter Look-up'!$J:$J,0))</f>
        <v>27</v>
      </c>
      <c r="W6" s="276"/>
      <c r="X6" s="276">
        <f t="shared" ref="X6:X37" si="4">IF(AND(C6="Smelter not listed",OR(LEN(D6)=0,LEN(E6)=0)),1,0)</f>
        <v>0</v>
      </c>
      <c r="Y6" s="276"/>
      <c r="Z6" s="276"/>
      <c r="AB6" s="278" t="str">
        <f t="shared" ref="AB6:AB37" si="5">B6&amp;C6</f>
        <v>GoldAsaka Riken Co., Ltd.</v>
      </c>
    </row>
    <row r="7" spans="1:34" s="277" customFormat="1" ht="19.899999999999999" customHeight="1">
      <c r="A7" s="216" t="s">
        <v>674</v>
      </c>
      <c r="B7" s="217" t="s">
        <v>1153</v>
      </c>
      <c r="C7" s="452" t="s">
        <v>1247</v>
      </c>
      <c r="D7" s="217" t="s">
        <v>1247</v>
      </c>
      <c r="E7" s="217" t="s">
        <v>1124</v>
      </c>
      <c r="F7" s="217" t="s">
        <v>674</v>
      </c>
      <c r="G7" s="217" t="s">
        <v>15514</v>
      </c>
      <c r="H7" s="453" t="s">
        <v>15523</v>
      </c>
      <c r="I7" s="454" t="s">
        <v>1586</v>
      </c>
      <c r="J7" s="454" t="s">
        <v>15524</v>
      </c>
      <c r="K7" s="455" t="s">
        <v>15525</v>
      </c>
      <c r="L7" s="455" t="s">
        <v>15526</v>
      </c>
      <c r="M7" s="455"/>
      <c r="N7" s="455" t="s">
        <v>15515</v>
      </c>
      <c r="O7" s="455" t="s">
        <v>15516</v>
      </c>
      <c r="P7" s="456" t="s">
        <v>499</v>
      </c>
      <c r="Q7" s="457" t="s">
        <v>15517</v>
      </c>
      <c r="R7" s="217" t="str">
        <f ca="1">IF(ISERROR($V7),"",OFFSET('Smelter Look-up'!$C$4,$V7-4,0)&amp;"")</f>
        <v>Aurubis AG</v>
      </c>
      <c r="S7" s="225" t="str">
        <f t="shared" ca="1" si="3"/>
        <v>DE</v>
      </c>
      <c r="T7" s="225" t="str">
        <f ca="1">IF(B7="","",IF(ISERROR(MATCH($J7,SorP!$B$1:$B$6230,0)),"",INDIRECT("'SorP'!$A$"&amp;MATCH($J7,SorP!$B$1:$B$6230,0))))</f>
        <v/>
      </c>
      <c r="U7" s="241"/>
      <c r="V7" s="275">
        <f>IF(C7="",NA(),MATCH($B7&amp;$C7,'Smelter Look-up'!$J:$J,0))</f>
        <v>32</v>
      </c>
      <c r="W7" s="276"/>
      <c r="X7" s="276">
        <f t="shared" si="4"/>
        <v>0</v>
      </c>
      <c r="Y7" s="276"/>
      <c r="Z7" s="276"/>
      <c r="AB7" s="278" t="str">
        <f t="shared" si="5"/>
        <v>GoldAurubis AG</v>
      </c>
    </row>
    <row r="8" spans="1:34" s="277" customFormat="1" ht="19.899999999999999" customHeight="1">
      <c r="A8" s="216" t="s">
        <v>675</v>
      </c>
      <c r="B8" s="217" t="s">
        <v>1153</v>
      </c>
      <c r="C8" s="452" t="s">
        <v>927</v>
      </c>
      <c r="D8" s="217" t="s">
        <v>927</v>
      </c>
      <c r="E8" s="217" t="s">
        <v>904</v>
      </c>
      <c r="F8" s="217" t="s">
        <v>675</v>
      </c>
      <c r="G8" s="217" t="s">
        <v>15514</v>
      </c>
      <c r="H8" s="453" t="s">
        <v>15527</v>
      </c>
      <c r="I8" s="454" t="s">
        <v>2310</v>
      </c>
      <c r="J8" s="454" t="s">
        <v>15528</v>
      </c>
      <c r="K8" s="455" t="s">
        <v>15529</v>
      </c>
      <c r="L8" s="455" t="s">
        <v>15530</v>
      </c>
      <c r="M8" s="455"/>
      <c r="N8" s="455" t="s">
        <v>15515</v>
      </c>
      <c r="O8" s="455" t="s">
        <v>15516</v>
      </c>
      <c r="P8" s="456" t="s">
        <v>499</v>
      </c>
      <c r="Q8" s="457" t="s">
        <v>15517</v>
      </c>
      <c r="R8" s="217" t="str">
        <f ca="1">IF(ISERROR($V8),"",OFFSET('Smelter Look-up'!$C$4,$V8-4,0)&amp;"")</f>
        <v>Bangko Sentral ng Pilipinas (Central Bank of the Philippines)</v>
      </c>
      <c r="S8" s="225" t="str">
        <f t="shared" ca="1" si="3"/>
        <v>PH</v>
      </c>
      <c r="T8" s="225" t="str">
        <f ca="1">IF(B8="","",IF(ISERROR(MATCH($J8,SorP!$B$1:$B$6230,0)),"",INDIRECT("'SorP'!$A$"&amp;MATCH($J8,SorP!$B$1:$B$6230,0))))</f>
        <v/>
      </c>
      <c r="U8" s="241"/>
      <c r="V8" s="275">
        <f>IF(C8="",NA(),MATCH($B8&amp;$C8,'Smelter Look-up'!$J:$J,0))</f>
        <v>36</v>
      </c>
      <c r="W8" s="276"/>
      <c r="X8" s="276">
        <f t="shared" si="4"/>
        <v>0</v>
      </c>
      <c r="Y8" s="276"/>
      <c r="Z8" s="276"/>
      <c r="AB8" s="278" t="str">
        <f t="shared" si="5"/>
        <v>GoldBangko Sentral ng Pilipinas (Central Bank of the Philippines)</v>
      </c>
    </row>
    <row r="9" spans="1:34" s="277" customFormat="1" ht="19.899999999999999" customHeight="1">
      <c r="A9" s="216" t="s">
        <v>676</v>
      </c>
      <c r="B9" s="217" t="s">
        <v>1153</v>
      </c>
      <c r="C9" s="452" t="s">
        <v>1249</v>
      </c>
      <c r="D9" s="217" t="s">
        <v>1249</v>
      </c>
      <c r="E9" s="217" t="s">
        <v>910</v>
      </c>
      <c r="F9" s="217" t="s">
        <v>676</v>
      </c>
      <c r="G9" s="217" t="s">
        <v>15514</v>
      </c>
      <c r="H9" s="453" t="s">
        <v>15531</v>
      </c>
      <c r="I9" s="454" t="s">
        <v>1588</v>
      </c>
      <c r="J9" s="454" t="s">
        <v>15532</v>
      </c>
      <c r="K9" s="455" t="s">
        <v>2483</v>
      </c>
      <c r="L9" s="455" t="s">
        <v>2483</v>
      </c>
      <c r="M9" s="455"/>
      <c r="N9" s="455" t="s">
        <v>15515</v>
      </c>
      <c r="O9" s="455" t="s">
        <v>15516</v>
      </c>
      <c r="P9" s="456" t="s">
        <v>499</v>
      </c>
      <c r="Q9" s="457" t="s">
        <v>15517</v>
      </c>
      <c r="R9" s="217" t="str">
        <f ca="1">IF(ISERROR($V9),"",OFFSET('Smelter Look-up'!$C$4,$V9-4,0)&amp;"")</f>
        <v>Boliden AB</v>
      </c>
      <c r="S9" s="225" t="str">
        <f t="shared" ca="1" si="3"/>
        <v>SE</v>
      </c>
      <c r="T9" s="225" t="str">
        <f ca="1">IF(B9="","",IF(ISERROR(MATCH($J9,SorP!$B$1:$B$6230,0)),"",INDIRECT("'SorP'!$A$"&amp;MATCH($J9,SorP!$B$1:$B$6230,0))))</f>
        <v/>
      </c>
      <c r="U9" s="241"/>
      <c r="V9" s="275">
        <f>IF(C9="",NA(),MATCH($B9&amp;$C9,'Smelter Look-up'!$J:$J,0))</f>
        <v>37</v>
      </c>
      <c r="W9" s="276"/>
      <c r="X9" s="276">
        <f t="shared" si="4"/>
        <v>0</v>
      </c>
      <c r="Y9" s="276"/>
      <c r="Z9" s="276"/>
      <c r="AB9" s="278" t="str">
        <f t="shared" si="5"/>
        <v>GoldBoliden AB</v>
      </c>
    </row>
    <row r="10" spans="1:34" s="277" customFormat="1" ht="19.899999999999999" customHeight="1">
      <c r="A10" s="216" t="s">
        <v>678</v>
      </c>
      <c r="B10" s="217" t="s">
        <v>1153</v>
      </c>
      <c r="C10" s="452" t="s">
        <v>677</v>
      </c>
      <c r="D10" s="217" t="s">
        <v>677</v>
      </c>
      <c r="E10" s="217" t="s">
        <v>1124</v>
      </c>
      <c r="F10" s="217" t="s">
        <v>678</v>
      </c>
      <c r="G10" s="217" t="s">
        <v>15514</v>
      </c>
      <c r="H10" s="453" t="s">
        <v>15533</v>
      </c>
      <c r="I10" s="454" t="s">
        <v>1572</v>
      </c>
      <c r="J10" s="454" t="s">
        <v>1573</v>
      </c>
      <c r="K10" s="455" t="s">
        <v>15534</v>
      </c>
      <c r="L10" s="455" t="s">
        <v>15535</v>
      </c>
      <c r="M10" s="455"/>
      <c r="N10" s="455" t="s">
        <v>15515</v>
      </c>
      <c r="O10" s="455" t="s">
        <v>15516</v>
      </c>
      <c r="P10" s="456" t="s">
        <v>499</v>
      </c>
      <c r="Q10" s="457" t="s">
        <v>15517</v>
      </c>
      <c r="R10" s="217" t="str">
        <f ca="1">IF(ISERROR($V10),"",OFFSET('Smelter Look-up'!$C$4,$V10-4,0)&amp;"")</f>
        <v>C. Hafner GmbH + Co. KG</v>
      </c>
      <c r="S10" s="225" t="str">
        <f t="shared" ca="1" si="3"/>
        <v>DE</v>
      </c>
      <c r="T10" s="225" t="str">
        <f ca="1">IF(B10="","",IF(ISERROR(MATCH($J10,SorP!$B$1:$B$6230,0)),"",INDIRECT("'SorP'!$A$"&amp;MATCH($J10,SorP!$B$1:$B$6230,0))))</f>
        <v>DE-BW</v>
      </c>
      <c r="U10" s="241"/>
      <c r="V10" s="275">
        <f>IF(C10="",NA(),MATCH($B10&amp;$C10,'Smelter Look-up'!$J:$J,0))</f>
        <v>38</v>
      </c>
      <c r="W10" s="276"/>
      <c r="X10" s="276">
        <f t="shared" si="4"/>
        <v>0</v>
      </c>
      <c r="Y10" s="276"/>
      <c r="Z10" s="276"/>
      <c r="AB10" s="278" t="str">
        <f t="shared" si="5"/>
        <v>GoldC. Hafner GmbH + Co. KG</v>
      </c>
    </row>
    <row r="11" spans="1:34" s="277" customFormat="1" ht="19.899999999999999" customHeight="1">
      <c r="A11" s="216" t="s">
        <v>680</v>
      </c>
      <c r="B11" s="217" t="s">
        <v>1153</v>
      </c>
      <c r="C11" s="452" t="s">
        <v>2352</v>
      </c>
      <c r="D11" s="217" t="s">
        <v>2352</v>
      </c>
      <c r="E11" s="217" t="s">
        <v>1120</v>
      </c>
      <c r="F11" s="217" t="s">
        <v>680</v>
      </c>
      <c r="G11" s="217" t="s">
        <v>15514</v>
      </c>
      <c r="H11" s="453" t="s">
        <v>15536</v>
      </c>
      <c r="I11" s="454" t="s">
        <v>1591</v>
      </c>
      <c r="J11" s="454" t="s">
        <v>1592</v>
      </c>
      <c r="K11" s="455" t="s">
        <v>15537</v>
      </c>
      <c r="L11" s="455" t="s">
        <v>15538</v>
      </c>
      <c r="M11" s="455"/>
      <c r="N11" s="455" t="s">
        <v>15515</v>
      </c>
      <c r="O11" s="455" t="s">
        <v>15539</v>
      </c>
      <c r="P11" s="456" t="s">
        <v>499</v>
      </c>
      <c r="Q11" s="457" t="s">
        <v>15517</v>
      </c>
      <c r="R11" s="217" t="str">
        <f ca="1">IF(ISERROR($V11),"",OFFSET('Smelter Look-up'!$C$4,$V11-4,0)&amp;"")</f>
        <v>CCR Refinery - Glencore Canada Corporation</v>
      </c>
      <c r="S11" s="225" t="str">
        <f t="shared" ca="1" si="3"/>
        <v>CA</v>
      </c>
      <c r="T11" s="225" t="str">
        <f ca="1">IF(B11="","",IF(ISERROR(MATCH($J11,SorP!$B$1:$B$6230,0)),"",INDIRECT("'SorP'!$A$"&amp;MATCH($J11,SorP!$B$1:$B$6230,0))))</f>
        <v>CA-QC</v>
      </c>
      <c r="U11" s="241"/>
      <c r="V11" s="275">
        <f>IF(C11="",NA(),MATCH($B11&amp;$C11,'Smelter Look-up'!$J:$J,0))</f>
        <v>43</v>
      </c>
      <c r="W11" s="276"/>
      <c r="X11" s="276">
        <f t="shared" si="4"/>
        <v>0</v>
      </c>
      <c r="Y11" s="276"/>
      <c r="Z11" s="276"/>
      <c r="AB11" s="278" t="str">
        <f t="shared" si="5"/>
        <v>GoldCCR Refinery - Glencore Canada Corporation</v>
      </c>
    </row>
    <row r="12" spans="1:34" s="277" customFormat="1" ht="19.899999999999999" customHeight="1">
      <c r="A12" s="216" t="s">
        <v>682</v>
      </c>
      <c r="B12" s="217" t="s">
        <v>1153</v>
      </c>
      <c r="C12" s="452" t="s">
        <v>55</v>
      </c>
      <c r="D12" s="217" t="s">
        <v>55</v>
      </c>
      <c r="E12" s="217" t="s">
        <v>1130</v>
      </c>
      <c r="F12" s="217" t="s">
        <v>682</v>
      </c>
      <c r="G12" s="217" t="s">
        <v>15514</v>
      </c>
      <c r="H12" s="453" t="s">
        <v>2483</v>
      </c>
      <c r="I12" s="454" t="s">
        <v>1599</v>
      </c>
      <c r="J12" s="454" t="s">
        <v>15540</v>
      </c>
      <c r="K12" s="455" t="s">
        <v>2483</v>
      </c>
      <c r="L12" s="455" t="s">
        <v>2483</v>
      </c>
      <c r="M12" s="455"/>
      <c r="N12" s="455" t="s">
        <v>15515</v>
      </c>
      <c r="O12" s="455" t="s">
        <v>15516</v>
      </c>
      <c r="P12" s="456" t="s">
        <v>499</v>
      </c>
      <c r="Q12" s="457" t="s">
        <v>15517</v>
      </c>
      <c r="R12" s="217" t="str">
        <f ca="1">IF(ISERROR($V12),"",OFFSET('Smelter Look-up'!$C$4,$V12-4,0)&amp;"")</f>
        <v>Chimet S.p.A.</v>
      </c>
      <c r="S12" s="225" t="str">
        <f t="shared" ca="1" si="3"/>
        <v>IT</v>
      </c>
      <c r="T12" s="225" t="str">
        <f ca="1">IF(B12="","",IF(ISERROR(MATCH($J12,SorP!$B$1:$B$6230,0)),"",INDIRECT("'SorP'!$A$"&amp;MATCH($J12,SorP!$B$1:$B$6230,0))))</f>
        <v/>
      </c>
      <c r="U12" s="241"/>
      <c r="V12" s="275">
        <f>IF(C12="",NA(),MATCH($B12&amp;$C12,'Smelter Look-up'!$J:$J,0))</f>
        <v>51</v>
      </c>
      <c r="W12" s="276"/>
      <c r="X12" s="276">
        <f t="shared" si="4"/>
        <v>0</v>
      </c>
      <c r="Y12" s="276"/>
      <c r="Z12" s="276"/>
      <c r="AB12" s="278" t="str">
        <f t="shared" si="5"/>
        <v>GoldChimet S.p.A.</v>
      </c>
    </row>
    <row r="13" spans="1:34" s="277" customFormat="1" ht="19.899999999999999" customHeight="1">
      <c r="A13" s="216" t="s">
        <v>689</v>
      </c>
      <c r="B13" s="217" t="s">
        <v>1153</v>
      </c>
      <c r="C13" s="452" t="s">
        <v>1608</v>
      </c>
      <c r="D13" s="217" t="s">
        <v>929</v>
      </c>
      <c r="E13" s="217" t="s">
        <v>1131</v>
      </c>
      <c r="F13" s="217" t="s">
        <v>689</v>
      </c>
      <c r="G13" s="217" t="s">
        <v>15514</v>
      </c>
      <c r="H13" s="453" t="s">
        <v>15541</v>
      </c>
      <c r="I13" s="454" t="s">
        <v>1604</v>
      </c>
      <c r="J13" s="454" t="s">
        <v>1605</v>
      </c>
      <c r="K13" s="455" t="s">
        <v>15542</v>
      </c>
      <c r="L13" s="455" t="s">
        <v>15543</v>
      </c>
      <c r="M13" s="455"/>
      <c r="N13" s="455" t="s">
        <v>15544</v>
      </c>
      <c r="O13" s="455" t="s">
        <v>15545</v>
      </c>
      <c r="P13" s="456" t="s">
        <v>499</v>
      </c>
      <c r="Q13" s="457" t="s">
        <v>15517</v>
      </c>
      <c r="R13" s="217" t="str">
        <f ca="1">IF(ISERROR($V13),"",OFFSET('Smelter Look-up'!$C$4,$V13-4,0)&amp;"")</f>
        <v>Dowa</v>
      </c>
      <c r="S13" s="225" t="str">
        <f t="shared" ca="1" si="3"/>
        <v>JP</v>
      </c>
      <c r="T13" s="225" t="str">
        <f ca="1">IF(B13="","",IF(ISERROR(MATCH($J13,SorP!$B$1:$B$6230,0)),"",INDIRECT("'SorP'!$A$"&amp;MATCH($J13,SorP!$B$1:$B$6230,0))))</f>
        <v>JP-05</v>
      </c>
      <c r="U13" s="241"/>
      <c r="V13" s="275">
        <f>IF(C13="",NA(),MATCH($B13&amp;$C13,'Smelter Look-up'!$J:$J,0))</f>
        <v>66</v>
      </c>
      <c r="W13" s="276"/>
      <c r="X13" s="276">
        <f t="shared" si="4"/>
        <v>0</v>
      </c>
      <c r="Y13" s="276"/>
      <c r="Z13" s="276"/>
      <c r="AB13" s="278" t="str">
        <f t="shared" si="5"/>
        <v>GoldDowa Metals &amp; Mining Co. Ltd</v>
      </c>
    </row>
    <row r="14" spans="1:34" s="277" customFormat="1" ht="19.899999999999999" customHeight="1">
      <c r="A14" s="216" t="s">
        <v>407</v>
      </c>
      <c r="B14" s="217" t="s">
        <v>1153</v>
      </c>
      <c r="C14" s="452" t="s">
        <v>15546</v>
      </c>
      <c r="D14" s="217" t="s">
        <v>15546</v>
      </c>
      <c r="E14" s="217" t="s">
        <v>1131</v>
      </c>
      <c r="F14" s="217" t="s">
        <v>407</v>
      </c>
      <c r="G14" s="217" t="s">
        <v>15514</v>
      </c>
      <c r="H14" s="453" t="s">
        <v>15547</v>
      </c>
      <c r="I14" s="454" t="s">
        <v>1609</v>
      </c>
      <c r="J14" s="454" t="s">
        <v>1610</v>
      </c>
      <c r="K14" s="455" t="s">
        <v>15548</v>
      </c>
      <c r="L14" s="455" t="s">
        <v>15549</v>
      </c>
      <c r="M14" s="455"/>
      <c r="N14" s="455" t="s">
        <v>15521</v>
      </c>
      <c r="O14" s="455" t="s">
        <v>15550</v>
      </c>
      <c r="P14" s="456" t="s">
        <v>498</v>
      </c>
      <c r="Q14" s="457" t="s">
        <v>15517</v>
      </c>
      <c r="R14" s="217" t="str">
        <f ca="1">IF(ISERROR($V14),"",OFFSET('Smelter Look-up'!$C$4,$V14-4,0)&amp;"")</f>
        <v/>
      </c>
      <c r="S14" s="225" t="str">
        <f t="shared" ca="1" si="3"/>
        <v>JP</v>
      </c>
      <c r="T14" s="225" t="str">
        <f ca="1">IF(B14="","",IF(ISERROR(MATCH($J14,SorP!$B$1:$B$6230,0)),"",INDIRECT("'SorP'!$A$"&amp;MATCH($J14,SorP!$B$1:$B$6230,0))))</f>
        <v>JP-11</v>
      </c>
      <c r="U14" s="241"/>
      <c r="V14" s="275" t="e">
        <f>IF(C14="",NA(),MATCH($B14&amp;$C14,'Smelter Look-up'!$J:$J,0))</f>
        <v>#N/A</v>
      </c>
      <c r="W14" s="276"/>
      <c r="X14" s="276">
        <f t="shared" si="4"/>
        <v>0</v>
      </c>
      <c r="Y14" s="276"/>
      <c r="Z14" s="276"/>
      <c r="AB14" s="278" t="str">
        <f t="shared" si="5"/>
        <v>GoldEco-System Recycling Co., Ltd.</v>
      </c>
    </row>
    <row r="15" spans="1:34" s="277" customFormat="1" ht="19.899999999999999" customHeight="1">
      <c r="A15" s="216" t="s">
        <v>694</v>
      </c>
      <c r="B15" s="217" t="s">
        <v>1153</v>
      </c>
      <c r="C15" s="452" t="s">
        <v>1062</v>
      </c>
      <c r="D15" s="217" t="s">
        <v>1062</v>
      </c>
      <c r="E15" s="217" t="s">
        <v>1124</v>
      </c>
      <c r="F15" s="217" t="s">
        <v>694</v>
      </c>
      <c r="G15" s="217" t="s">
        <v>15514</v>
      </c>
      <c r="H15" s="453" t="s">
        <v>15551</v>
      </c>
      <c r="I15" s="454" t="s">
        <v>1572</v>
      </c>
      <c r="J15" s="454" t="s">
        <v>1573</v>
      </c>
      <c r="K15" s="455" t="s">
        <v>15552</v>
      </c>
      <c r="L15" s="455" t="s">
        <v>15553</v>
      </c>
      <c r="M15" s="455"/>
      <c r="N15" s="455" t="s">
        <v>15521</v>
      </c>
      <c r="O15" s="455" t="s">
        <v>15554</v>
      </c>
      <c r="P15" s="456" t="s">
        <v>498</v>
      </c>
      <c r="Q15" s="457" t="s">
        <v>15517</v>
      </c>
      <c r="R15" s="217" t="str">
        <f ca="1">IF(ISERROR($V15),"",OFFSET('Smelter Look-up'!$C$4,$V15-4,0)&amp;"")</f>
        <v>Heimerle + Meule GmbH</v>
      </c>
      <c r="S15" s="225" t="str">
        <f t="shared" ca="1" si="3"/>
        <v>DE</v>
      </c>
      <c r="T15" s="225" t="str">
        <f ca="1">IF(B15="","",IF(ISERROR(MATCH($J15,SorP!$B$1:$B$6230,0)),"",INDIRECT("'SorP'!$A$"&amp;MATCH($J15,SorP!$B$1:$B$6230,0))))</f>
        <v>DE-BW</v>
      </c>
      <c r="U15" s="241"/>
      <c r="V15" s="275">
        <f>IF(C15="",NA(),MATCH($B15&amp;$C15,'Smelter Look-up'!$J:$J,0))</f>
        <v>92</v>
      </c>
      <c r="W15" s="276"/>
      <c r="X15" s="276">
        <f t="shared" si="4"/>
        <v>0</v>
      </c>
      <c r="Y15" s="276"/>
      <c r="Z15" s="276"/>
      <c r="AB15" s="278" t="str">
        <f t="shared" si="5"/>
        <v>GoldHeimerle + Meule GmbH</v>
      </c>
    </row>
    <row r="16" spans="1:34" s="277" customFormat="1" ht="19.899999999999999" customHeight="1">
      <c r="A16" s="216" t="s">
        <v>695</v>
      </c>
      <c r="B16" s="217" t="s">
        <v>1153</v>
      </c>
      <c r="C16" s="452" t="s">
        <v>56</v>
      </c>
      <c r="D16" s="217" t="s">
        <v>56</v>
      </c>
      <c r="E16" s="217" t="s">
        <v>1123</v>
      </c>
      <c r="F16" s="217" t="s">
        <v>695</v>
      </c>
      <c r="G16" s="217" t="s">
        <v>15514</v>
      </c>
      <c r="H16" s="453" t="s">
        <v>15555</v>
      </c>
      <c r="I16" s="454" t="s">
        <v>1618</v>
      </c>
      <c r="J16" s="454" t="s">
        <v>15556</v>
      </c>
      <c r="K16" s="455" t="s">
        <v>15557</v>
      </c>
      <c r="L16" s="455" t="s">
        <v>15558</v>
      </c>
      <c r="M16" s="455"/>
      <c r="N16" s="455" t="s">
        <v>15559</v>
      </c>
      <c r="O16" s="455" t="s">
        <v>15559</v>
      </c>
      <c r="P16" s="456" t="s">
        <v>498</v>
      </c>
      <c r="Q16" s="457" t="s">
        <v>15560</v>
      </c>
      <c r="R16" s="217" t="str">
        <f ca="1">IF(ISERROR($V16),"",OFFSET('Smelter Look-up'!$C$4,$V16-4,0)&amp;"")</f>
        <v>Heraeus Metals Hong Kong Ltd.</v>
      </c>
      <c r="S16" s="225" t="str">
        <f t="shared" ca="1" si="3"/>
        <v>CN</v>
      </c>
      <c r="T16" s="225" t="str">
        <f ca="1">IF(B16="","",IF(ISERROR(MATCH($J16,SorP!$B$1:$B$6230,0)),"",INDIRECT("'SorP'!$A$"&amp;MATCH($J16,SorP!$B$1:$B$6230,0))))</f>
        <v/>
      </c>
      <c r="U16" s="241"/>
      <c r="V16" s="275">
        <f>IF(C16="",NA(),MATCH($B16&amp;$C16,'Smelter Look-up'!$J:$J,0))</f>
        <v>96</v>
      </c>
      <c r="W16" s="276"/>
      <c r="X16" s="276">
        <f t="shared" si="4"/>
        <v>0</v>
      </c>
      <c r="Y16" s="276"/>
      <c r="Z16" s="276"/>
      <c r="AB16" s="278" t="str">
        <f t="shared" si="5"/>
        <v>GoldHeraeus Ltd. Hong Kong</v>
      </c>
    </row>
    <row r="17" spans="1:28" s="277" customFormat="1" ht="19.899999999999999" customHeight="1">
      <c r="A17" s="216" t="s">
        <v>696</v>
      </c>
      <c r="B17" s="217" t="s">
        <v>1153</v>
      </c>
      <c r="C17" s="452" t="s">
        <v>1250</v>
      </c>
      <c r="D17" s="217" t="s">
        <v>1250</v>
      </c>
      <c r="E17" s="217" t="s">
        <v>1124</v>
      </c>
      <c r="F17" s="217" t="s">
        <v>696</v>
      </c>
      <c r="G17" s="217" t="s">
        <v>15514</v>
      </c>
      <c r="H17" s="453" t="s">
        <v>15561</v>
      </c>
      <c r="I17" s="454" t="s">
        <v>1619</v>
      </c>
      <c r="J17" s="454" t="s">
        <v>15562</v>
      </c>
      <c r="K17" s="455" t="s">
        <v>15563</v>
      </c>
      <c r="L17" s="455" t="s">
        <v>15564</v>
      </c>
      <c r="M17" s="455"/>
      <c r="N17" s="455" t="s">
        <v>15565</v>
      </c>
      <c r="O17" s="455" t="s">
        <v>15566</v>
      </c>
      <c r="P17" s="456" t="s">
        <v>498</v>
      </c>
      <c r="Q17" s="457" t="s">
        <v>15517</v>
      </c>
      <c r="R17" s="217" t="str">
        <f ca="1">IF(ISERROR($V17),"",OFFSET('Smelter Look-up'!$C$4,$V17-4,0)&amp;"")</f>
        <v>Heraeus Precious Metals GmbH &amp; Co. KG</v>
      </c>
      <c r="S17" s="225" t="str">
        <f t="shared" ca="1" si="3"/>
        <v>DE</v>
      </c>
      <c r="T17" s="225" t="str">
        <f ca="1">IF(B17="","",IF(ISERROR(MATCH($J17,SorP!$B$1:$B$6230,0)),"",INDIRECT("'SorP'!$A$"&amp;MATCH($J17,SorP!$B$1:$B$6230,0))))</f>
        <v/>
      </c>
      <c r="U17" s="241"/>
      <c r="V17" s="275">
        <f>IF(C17="",NA(),MATCH($B17&amp;$C17,'Smelter Look-up'!$J:$J,0))</f>
        <v>98</v>
      </c>
      <c r="W17" s="276"/>
      <c r="X17" s="276">
        <f t="shared" si="4"/>
        <v>0</v>
      </c>
      <c r="Y17" s="276"/>
      <c r="Z17" s="276"/>
      <c r="AB17" s="278" t="str">
        <f t="shared" si="5"/>
        <v>GoldHeraeus Precious Metals GmbH &amp; Co. KG</v>
      </c>
    </row>
    <row r="18" spans="1:28" s="277" customFormat="1" ht="19.899999999999999" customHeight="1">
      <c r="A18" s="216" t="s">
        <v>700</v>
      </c>
      <c r="B18" s="217" t="s">
        <v>1153</v>
      </c>
      <c r="C18" s="452" t="s">
        <v>1251</v>
      </c>
      <c r="D18" s="217" t="s">
        <v>1251</v>
      </c>
      <c r="E18" s="217" t="s">
        <v>1131</v>
      </c>
      <c r="F18" s="217" t="s">
        <v>700</v>
      </c>
      <c r="G18" s="217" t="s">
        <v>15514</v>
      </c>
      <c r="H18" s="453" t="s">
        <v>15567</v>
      </c>
      <c r="I18" s="454" t="s">
        <v>1624</v>
      </c>
      <c r="J18" s="454" t="s">
        <v>1610</v>
      </c>
      <c r="K18" s="455" t="s">
        <v>15568</v>
      </c>
      <c r="L18" s="455" t="s">
        <v>15569</v>
      </c>
      <c r="M18" s="455"/>
      <c r="N18" s="455" t="s">
        <v>15570</v>
      </c>
      <c r="O18" s="455" t="s">
        <v>15571</v>
      </c>
      <c r="P18" s="456" t="s">
        <v>498</v>
      </c>
      <c r="Q18" s="457" t="s">
        <v>15517</v>
      </c>
      <c r="R18" s="217" t="str">
        <f ca="1">IF(ISERROR($V18),"",OFFSET('Smelter Look-up'!$C$4,$V18-4,0)&amp;"")</f>
        <v>Ishifuku Metal Industry Co., Ltd.</v>
      </c>
      <c r="S18" s="225" t="str">
        <f t="shared" ca="1" si="3"/>
        <v>JP</v>
      </c>
      <c r="T18" s="225" t="str">
        <f ca="1">IF(B18="","",IF(ISERROR(MATCH($J18,SorP!$B$1:$B$6230,0)),"",INDIRECT("'SorP'!$A$"&amp;MATCH($J18,SorP!$B$1:$B$6230,0))))</f>
        <v>JP-11</v>
      </c>
      <c r="U18" s="241"/>
      <c r="V18" s="275">
        <f>IF(C18="",NA(),MATCH($B18&amp;$C18,'Smelter Look-up'!$J:$J,0))</f>
        <v>107</v>
      </c>
      <c r="W18" s="276"/>
      <c r="X18" s="276">
        <f t="shared" si="4"/>
        <v>0</v>
      </c>
      <c r="Y18" s="276"/>
      <c r="Z18" s="276"/>
      <c r="AB18" s="278" t="str">
        <f t="shared" si="5"/>
        <v>GoldIshifuku Metal Industry Co., Ltd.</v>
      </c>
    </row>
    <row r="19" spans="1:28" s="277" customFormat="1" ht="38.25">
      <c r="A19" s="216" t="s">
        <v>701</v>
      </c>
      <c r="B19" s="217" t="s">
        <v>1153</v>
      </c>
      <c r="C19" s="452" t="s">
        <v>1258</v>
      </c>
      <c r="D19" s="217" t="s">
        <v>1258</v>
      </c>
      <c r="E19" s="217" t="s">
        <v>912</v>
      </c>
      <c r="F19" s="217" t="s">
        <v>701</v>
      </c>
      <c r="G19" s="217" t="s">
        <v>15514</v>
      </c>
      <c r="H19" s="453" t="s">
        <v>15572</v>
      </c>
      <c r="I19" s="454" t="s">
        <v>1625</v>
      </c>
      <c r="J19" s="454" t="s">
        <v>1585</v>
      </c>
      <c r="K19" s="455" t="s">
        <v>2483</v>
      </c>
      <c r="L19" s="455" t="s">
        <v>15573</v>
      </c>
      <c r="M19" s="455"/>
      <c r="N19" s="455" t="s">
        <v>15515</v>
      </c>
      <c r="O19" s="455" t="s">
        <v>15516</v>
      </c>
      <c r="P19" s="456" t="s">
        <v>499</v>
      </c>
      <c r="Q19" s="457" t="s">
        <v>15517</v>
      </c>
      <c r="R19" s="217" t="str">
        <f ca="1">IF(ISERROR($V19),"",OFFSET('Smelter Look-up'!$C$4,$V19-4,0)&amp;"")</f>
        <v>Istanbul Gold Refinery</v>
      </c>
      <c r="S19" s="225" t="str">
        <f t="shared" ca="1" si="3"/>
        <v>TR</v>
      </c>
      <c r="T19" s="225" t="str">
        <f ca="1">IF(B19="","",IF(ISERROR(MATCH($J19,SorP!$B$1:$B$6230,0)),"",INDIRECT("'SorP'!$A$"&amp;MATCH($J19,SorP!$B$1:$B$6230,0))))</f>
        <v/>
      </c>
      <c r="U19" s="241"/>
      <c r="V19" s="275">
        <f>IF(C19="",NA(),MATCH($B19&amp;$C19,'Smelter Look-up'!$J:$J,0))</f>
        <v>108</v>
      </c>
      <c r="W19" s="276"/>
      <c r="X19" s="276">
        <f t="shared" si="4"/>
        <v>0</v>
      </c>
      <c r="Y19" s="276"/>
      <c r="Z19" s="276"/>
      <c r="AB19" s="278" t="str">
        <f t="shared" si="5"/>
        <v>GoldIstanbul Gold Refinery</v>
      </c>
    </row>
    <row r="20" spans="1:28" s="277" customFormat="1" ht="51">
      <c r="A20" s="216" t="s">
        <v>704</v>
      </c>
      <c r="B20" s="217" t="s">
        <v>1153</v>
      </c>
      <c r="C20" s="452" t="s">
        <v>2309</v>
      </c>
      <c r="D20" s="217" t="s">
        <v>2309</v>
      </c>
      <c r="E20" s="217" t="s">
        <v>15574</v>
      </c>
      <c r="F20" s="217" t="s">
        <v>704</v>
      </c>
      <c r="G20" s="217" t="s">
        <v>15514</v>
      </c>
      <c r="H20" s="453" t="s">
        <v>15575</v>
      </c>
      <c r="I20" s="454" t="s">
        <v>1629</v>
      </c>
      <c r="J20" s="454" t="s">
        <v>1630</v>
      </c>
      <c r="K20" s="455" t="s">
        <v>2483</v>
      </c>
      <c r="L20" s="455" t="s">
        <v>15576</v>
      </c>
      <c r="M20" s="455"/>
      <c r="N20" s="455" t="s">
        <v>15559</v>
      </c>
      <c r="O20" s="455" t="s">
        <v>15559</v>
      </c>
      <c r="P20" s="456" t="s">
        <v>498</v>
      </c>
      <c r="Q20" s="457" t="s">
        <v>15560</v>
      </c>
      <c r="R20" s="217" t="str">
        <f ca="1">IF(ISERROR($V20),"",OFFSET('Smelter Look-up'!$C$4,$V20-4,0)&amp;"")</f>
        <v>Asahi Refining USA Inc.</v>
      </c>
      <c r="S20" s="225" t="str">
        <f t="shared" ca="1" si="3"/>
        <v>Unknown</v>
      </c>
      <c r="T20" s="225" t="str">
        <f ca="1">IF(B20="","",IF(ISERROR(MATCH($J20,SorP!$B$1:$B$6230,0)),"",INDIRECT("'SorP'!$A$"&amp;MATCH($J20,SorP!$B$1:$B$6230,0))))</f>
        <v>US-UT</v>
      </c>
      <c r="U20" s="241"/>
      <c r="V20" s="275">
        <f>IF(C20="",NA(),MATCH($B20&amp;$C20,'Smelter Look-up'!$J:$J,0))</f>
        <v>26</v>
      </c>
      <c r="W20" s="276"/>
      <c r="X20" s="276">
        <f t="shared" si="4"/>
        <v>0</v>
      </c>
      <c r="Y20" s="276"/>
      <c r="Z20" s="276"/>
      <c r="AB20" s="278" t="str">
        <f t="shared" si="5"/>
        <v>GoldAsahi Refining USA Inc.</v>
      </c>
    </row>
    <row r="21" spans="1:28" s="277" customFormat="1" ht="25.5">
      <c r="A21" s="216" t="s">
        <v>708</v>
      </c>
      <c r="B21" s="217" t="s">
        <v>1153</v>
      </c>
      <c r="C21" s="452" t="s">
        <v>57</v>
      </c>
      <c r="D21" s="217" t="s">
        <v>57</v>
      </c>
      <c r="E21" s="217" t="s">
        <v>1131</v>
      </c>
      <c r="F21" s="217" t="s">
        <v>708</v>
      </c>
      <c r="G21" s="217" t="s">
        <v>15514</v>
      </c>
      <c r="H21" s="453" t="s">
        <v>15577</v>
      </c>
      <c r="I21" s="454" t="s">
        <v>2496</v>
      </c>
      <c r="J21" s="454" t="s">
        <v>2496</v>
      </c>
      <c r="K21" s="455" t="s">
        <v>2483</v>
      </c>
      <c r="L21" s="455" t="s">
        <v>15578</v>
      </c>
      <c r="M21" s="455"/>
      <c r="N21" s="455" t="s">
        <v>15579</v>
      </c>
      <c r="O21" s="455" t="s">
        <v>15579</v>
      </c>
      <c r="P21" s="456" t="s">
        <v>498</v>
      </c>
      <c r="Q21" s="457" t="s">
        <v>15560</v>
      </c>
      <c r="R21" s="217" t="str">
        <f ca="1">IF(ISERROR($V21),"",OFFSET('Smelter Look-up'!$C$4,$V21-4,0)&amp;"")</f>
        <v>JX Nippon Mining &amp; Metals Co., Ltd.</v>
      </c>
      <c r="S21" s="225" t="str">
        <f t="shared" ca="1" si="3"/>
        <v>JP</v>
      </c>
      <c r="T21" s="225" t="str">
        <f ca="1">IF(B21="","",IF(ISERROR(MATCH($J21,SorP!$B$1:$B$6230,0)),"",INDIRECT("'SorP'!$A$"&amp;MATCH($J21,SorP!$B$1:$B$6230,0))))</f>
        <v/>
      </c>
      <c r="U21" s="241"/>
      <c r="V21" s="275">
        <f>IF(C21="",NA(),MATCH($B21&amp;$C21,'Smelter Look-up'!$J:$J,0))</f>
        <v>120</v>
      </c>
      <c r="W21" s="276"/>
      <c r="X21" s="276">
        <f t="shared" si="4"/>
        <v>0</v>
      </c>
      <c r="Y21" s="276"/>
      <c r="Z21" s="276"/>
      <c r="AB21" s="278" t="str">
        <f t="shared" si="5"/>
        <v>GoldJX Nippon Mining &amp; Metals Co., Ltd.</v>
      </c>
    </row>
    <row r="22" spans="1:28" s="277" customFormat="1" ht="25.5">
      <c r="A22" s="216" t="s">
        <v>711</v>
      </c>
      <c r="B22" s="217" t="s">
        <v>1153</v>
      </c>
      <c r="C22" s="452" t="s">
        <v>710</v>
      </c>
      <c r="D22" s="217" t="s">
        <v>710</v>
      </c>
      <c r="E22" s="217" t="s">
        <v>15574</v>
      </c>
      <c r="F22" s="217" t="s">
        <v>711</v>
      </c>
      <c r="G22" s="217" t="s">
        <v>15514</v>
      </c>
      <c r="H22" s="453" t="s">
        <v>15580</v>
      </c>
      <c r="I22" s="454" t="s">
        <v>1637</v>
      </c>
      <c r="J22" s="454" t="s">
        <v>1630</v>
      </c>
      <c r="K22" s="455" t="s">
        <v>15581</v>
      </c>
      <c r="L22" s="455" t="s">
        <v>15582</v>
      </c>
      <c r="M22" s="455"/>
      <c r="N22" s="455" t="s">
        <v>15515</v>
      </c>
      <c r="O22" s="455" t="s">
        <v>15583</v>
      </c>
      <c r="P22" s="456" t="s">
        <v>499</v>
      </c>
      <c r="Q22" s="457" t="s">
        <v>15517</v>
      </c>
      <c r="R22" s="217" t="str">
        <f ca="1">IF(ISERROR($V22),"",OFFSET('Smelter Look-up'!$C$4,$V22-4,0)&amp;"")</f>
        <v>Kennecott Utah Copper LLC</v>
      </c>
      <c r="S22" s="225" t="str">
        <f t="shared" ca="1" si="3"/>
        <v>Unknown</v>
      </c>
      <c r="T22" s="225" t="str">
        <f ca="1">IF(B22="","",IF(ISERROR(MATCH($J22,SorP!$B$1:$B$6230,0)),"",INDIRECT("'SorP'!$A$"&amp;MATCH($J22,SorP!$B$1:$B$6230,0))))</f>
        <v>US-UT</v>
      </c>
      <c r="U22" s="241"/>
      <c r="V22" s="275">
        <f>IF(C22="",NA(),MATCH($B22&amp;$C22,'Smelter Look-up'!$J:$J,0))</f>
        <v>124</v>
      </c>
      <c r="W22" s="276"/>
      <c r="X22" s="276">
        <f t="shared" si="4"/>
        <v>0</v>
      </c>
      <c r="Y22" s="276"/>
      <c r="Z22" s="276"/>
      <c r="AB22" s="278" t="str">
        <f t="shared" si="5"/>
        <v>GoldKennecott Utah Copper LLC</v>
      </c>
    </row>
    <row r="23" spans="1:28" s="277" customFormat="1" ht="25.5">
      <c r="A23" s="216" t="s">
        <v>712</v>
      </c>
      <c r="B23" s="217" t="s">
        <v>1153</v>
      </c>
      <c r="C23" s="452" t="s">
        <v>2252</v>
      </c>
      <c r="D23" s="217" t="s">
        <v>2252</v>
      </c>
      <c r="E23" s="217" t="s">
        <v>1131</v>
      </c>
      <c r="F23" s="217" t="s">
        <v>712</v>
      </c>
      <c r="G23" s="217" t="s">
        <v>15514</v>
      </c>
      <c r="H23" s="453" t="s">
        <v>15584</v>
      </c>
      <c r="I23" s="454" t="s">
        <v>1638</v>
      </c>
      <c r="J23" s="454" t="s">
        <v>1610</v>
      </c>
      <c r="K23" s="455" t="s">
        <v>15585</v>
      </c>
      <c r="L23" s="455" t="s">
        <v>2483</v>
      </c>
      <c r="M23" s="455"/>
      <c r="N23" s="455" t="s">
        <v>15586</v>
      </c>
      <c r="O23" s="455" t="s">
        <v>15587</v>
      </c>
      <c r="P23" s="456" t="s">
        <v>498</v>
      </c>
      <c r="Q23" s="457" t="s">
        <v>15517</v>
      </c>
      <c r="R23" s="217" t="str">
        <f ca="1">IF(ISERROR($V23),"",OFFSET('Smelter Look-up'!$C$4,$V23-4,0)&amp;"")</f>
        <v>Kojima Chemicals Co., Ltd.</v>
      </c>
      <c r="S23" s="225" t="str">
        <f t="shared" ca="1" si="3"/>
        <v>JP</v>
      </c>
      <c r="T23" s="225" t="str">
        <f ca="1">IF(B23="","",IF(ISERROR(MATCH($J23,SorP!$B$1:$B$6230,0)),"",INDIRECT("'SorP'!$A$"&amp;MATCH($J23,SorP!$B$1:$B$6230,0))))</f>
        <v>JP-11</v>
      </c>
      <c r="U23" s="241"/>
      <c r="V23" s="275">
        <f>IF(C23="",NA(),MATCH($B23&amp;$C23,'Smelter Look-up'!$J:$J,0))</f>
        <v>128</v>
      </c>
      <c r="W23" s="276"/>
      <c r="X23" s="276">
        <f t="shared" si="4"/>
        <v>0</v>
      </c>
      <c r="Y23" s="276"/>
      <c r="Z23" s="276"/>
      <c r="AB23" s="278" t="str">
        <f t="shared" si="5"/>
        <v>GoldKojima Chemicals Co., Ltd.</v>
      </c>
    </row>
    <row r="24" spans="1:28" s="277" customFormat="1" ht="51">
      <c r="A24" s="216" t="s">
        <v>716</v>
      </c>
      <c r="B24" s="217" t="s">
        <v>1153</v>
      </c>
      <c r="C24" s="452" t="s">
        <v>58</v>
      </c>
      <c r="D24" s="217" t="s">
        <v>58</v>
      </c>
      <c r="E24" s="217" t="s">
        <v>1134</v>
      </c>
      <c r="F24" s="217" t="s">
        <v>716</v>
      </c>
      <c r="G24" s="217" t="s">
        <v>15514</v>
      </c>
      <c r="H24" s="453" t="s">
        <v>15588</v>
      </c>
      <c r="I24" s="454" t="s">
        <v>1643</v>
      </c>
      <c r="J24" s="454" t="s">
        <v>15589</v>
      </c>
      <c r="K24" s="455" t="s">
        <v>15590</v>
      </c>
      <c r="L24" s="455" t="s">
        <v>15591</v>
      </c>
      <c r="M24" s="455"/>
      <c r="N24" s="455" t="s">
        <v>15592</v>
      </c>
      <c r="O24" s="455" t="s">
        <v>15593</v>
      </c>
      <c r="P24" s="456" t="s">
        <v>498</v>
      </c>
      <c r="Q24" s="457" t="s">
        <v>15517</v>
      </c>
      <c r="R24" s="217" t="str">
        <f ca="1">IF(ISERROR($V24),"",OFFSET('Smelter Look-up'!$C$4,$V24-4,0)&amp;"")</f>
        <v>LS-NIKKO Copper Inc.</v>
      </c>
      <c r="S24" s="225" t="str">
        <f t="shared" ca="1" si="3"/>
        <v>KR</v>
      </c>
      <c r="T24" s="225" t="str">
        <f ca="1">IF(B24="","",IF(ISERROR(MATCH($J24,SorP!$B$1:$B$6230,0)),"",INDIRECT("'SorP'!$A$"&amp;MATCH($J24,SorP!$B$1:$B$6230,0))))</f>
        <v/>
      </c>
      <c r="U24" s="241"/>
      <c r="V24" s="275">
        <f>IF(C24="",NA(),MATCH($B24&amp;$C24,'Smelter Look-up'!$J:$J,0))</f>
        <v>143</v>
      </c>
      <c r="W24" s="276"/>
      <c r="X24" s="276">
        <f t="shared" si="4"/>
        <v>0</v>
      </c>
      <c r="Y24" s="276"/>
      <c r="Z24" s="276"/>
      <c r="AB24" s="278" t="str">
        <f t="shared" si="5"/>
        <v>GoldLS-NIKKO Copper Inc.</v>
      </c>
    </row>
    <row r="25" spans="1:28" s="277" customFormat="1" ht="38.25">
      <c r="A25" s="216" t="s">
        <v>719</v>
      </c>
      <c r="B25" s="217" t="s">
        <v>1153</v>
      </c>
      <c r="C25" s="452" t="s">
        <v>933</v>
      </c>
      <c r="D25" s="217" t="s">
        <v>933</v>
      </c>
      <c r="E25" s="217" t="s">
        <v>15574</v>
      </c>
      <c r="F25" s="217" t="s">
        <v>719</v>
      </c>
      <c r="G25" s="217" t="s">
        <v>15514</v>
      </c>
      <c r="H25" s="453" t="s">
        <v>15594</v>
      </c>
      <c r="I25" s="454" t="s">
        <v>1646</v>
      </c>
      <c r="J25" s="454" t="s">
        <v>1647</v>
      </c>
      <c r="K25" s="455" t="s">
        <v>15595</v>
      </c>
      <c r="L25" s="455" t="s">
        <v>15596</v>
      </c>
      <c r="M25" s="455"/>
      <c r="N25" s="455" t="s">
        <v>15597</v>
      </c>
      <c r="O25" s="455" t="s">
        <v>15598</v>
      </c>
      <c r="P25" s="456" t="s">
        <v>498</v>
      </c>
      <c r="Q25" s="457" t="s">
        <v>15517</v>
      </c>
      <c r="R25" s="217" t="str">
        <f ca="1">IF(ISERROR($V25),"",OFFSET('Smelter Look-up'!$C$4,$V25-4,0)&amp;"")</f>
        <v>Materion</v>
      </c>
      <c r="S25" s="225" t="str">
        <f t="shared" ca="1" si="3"/>
        <v>Unknown</v>
      </c>
      <c r="T25" s="225" t="str">
        <f ca="1">IF(B25="","",IF(ISERROR(MATCH($J25,SorP!$B$1:$B$6230,0)),"",INDIRECT("'SorP'!$A$"&amp;MATCH($J25,SorP!$B$1:$B$6230,0))))</f>
        <v>US-NY</v>
      </c>
      <c r="U25" s="241"/>
      <c r="V25" s="275">
        <f>IF(C25="",NA(),MATCH($B25&amp;$C25,'Smelter Look-up'!$J:$J,0))</f>
        <v>149</v>
      </c>
      <c r="W25" s="276"/>
      <c r="X25" s="276">
        <f t="shared" si="4"/>
        <v>0</v>
      </c>
      <c r="Y25" s="276"/>
      <c r="Z25" s="276"/>
      <c r="AB25" s="278" t="str">
        <f t="shared" si="5"/>
        <v>GoldMaterion</v>
      </c>
    </row>
    <row r="26" spans="1:28" s="277" customFormat="1" ht="63.75">
      <c r="A26" s="216" t="s">
        <v>720</v>
      </c>
      <c r="B26" s="217" t="s">
        <v>1153</v>
      </c>
      <c r="C26" s="452" t="s">
        <v>59</v>
      </c>
      <c r="D26" s="217" t="s">
        <v>59</v>
      </c>
      <c r="E26" s="217" t="s">
        <v>1131</v>
      </c>
      <c r="F26" s="217" t="s">
        <v>720</v>
      </c>
      <c r="G26" s="217" t="s">
        <v>15514</v>
      </c>
      <c r="H26" s="453" t="s">
        <v>15599</v>
      </c>
      <c r="I26" s="454" t="s">
        <v>1648</v>
      </c>
      <c r="J26" s="454" t="s">
        <v>1610</v>
      </c>
      <c r="K26" s="455" t="s">
        <v>15600</v>
      </c>
      <c r="L26" s="455" t="s">
        <v>15601</v>
      </c>
      <c r="M26" s="455"/>
      <c r="N26" s="455" t="s">
        <v>15570</v>
      </c>
      <c r="O26" s="455" t="s">
        <v>15571</v>
      </c>
      <c r="P26" s="456" t="s">
        <v>498</v>
      </c>
      <c r="Q26" s="457" t="s">
        <v>15517</v>
      </c>
      <c r="R26" s="217" t="str">
        <f ca="1">IF(ISERROR($V26),"",OFFSET('Smelter Look-up'!$C$4,$V26-4,0)&amp;"")</f>
        <v>Matsuda Sangyo Co., Ltd.</v>
      </c>
      <c r="S26" s="225" t="str">
        <f t="shared" ca="1" si="3"/>
        <v>JP</v>
      </c>
      <c r="T26" s="225" t="str">
        <f ca="1">IF(B26="","",IF(ISERROR(MATCH($J26,SorP!$B$1:$B$6230,0)),"",INDIRECT("'SorP'!$A$"&amp;MATCH($J26,SorP!$B$1:$B$6230,0))))</f>
        <v>JP-11</v>
      </c>
      <c r="U26" s="241"/>
      <c r="V26" s="275">
        <f>IF(C26="",NA(),MATCH($B26&amp;$C26,'Smelter Look-up'!$J:$J,0))</f>
        <v>150</v>
      </c>
      <c r="W26" s="276"/>
      <c r="X26" s="276">
        <f t="shared" si="4"/>
        <v>0</v>
      </c>
      <c r="Y26" s="276"/>
      <c r="Z26" s="276"/>
      <c r="AB26" s="278" t="str">
        <f t="shared" si="5"/>
        <v>GoldMatsuda Sangyo Co., Ltd.</v>
      </c>
    </row>
    <row r="27" spans="1:28" s="277" customFormat="1" ht="114.75">
      <c r="A27" s="216" t="s">
        <v>721</v>
      </c>
      <c r="B27" s="217" t="s">
        <v>1153</v>
      </c>
      <c r="C27" s="452" t="s">
        <v>2255</v>
      </c>
      <c r="D27" s="217" t="s">
        <v>2255</v>
      </c>
      <c r="E27" s="217" t="s">
        <v>1123</v>
      </c>
      <c r="F27" s="217" t="s">
        <v>721</v>
      </c>
      <c r="G27" s="217" t="s">
        <v>15514</v>
      </c>
      <c r="H27" s="453" t="s">
        <v>15602</v>
      </c>
      <c r="I27" s="454" t="s">
        <v>1651</v>
      </c>
      <c r="J27" s="454" t="s">
        <v>15556</v>
      </c>
      <c r="K27" s="455" t="s">
        <v>15603</v>
      </c>
      <c r="L27" s="455" t="s">
        <v>15604</v>
      </c>
      <c r="M27" s="455"/>
      <c r="N27" s="455" t="s">
        <v>15605</v>
      </c>
      <c r="O27" s="455" t="s">
        <v>15606</v>
      </c>
      <c r="P27" s="456" t="s">
        <v>498</v>
      </c>
      <c r="Q27" s="457" t="s">
        <v>15517</v>
      </c>
      <c r="R27" s="217" t="str">
        <f ca="1">IF(ISERROR($V27),"",OFFSET('Smelter Look-up'!$C$4,$V27-4,0)&amp;"")</f>
        <v>Metalor Technologies (Hong Kong) Ltd.</v>
      </c>
      <c r="S27" s="225" t="str">
        <f t="shared" ca="1" si="3"/>
        <v>CN</v>
      </c>
      <c r="T27" s="225" t="str">
        <f ca="1">IF(B27="","",IF(ISERROR(MATCH($J27,SorP!$B$1:$B$6230,0)),"",INDIRECT("'SorP'!$A$"&amp;MATCH($J27,SorP!$B$1:$B$6230,0))))</f>
        <v/>
      </c>
      <c r="U27" s="241"/>
      <c r="V27" s="275">
        <f>IF(C27="",NA(),MATCH($B27&amp;$C27,'Smelter Look-up'!$J:$J,0))</f>
        <v>155</v>
      </c>
      <c r="W27" s="276"/>
      <c r="X27" s="276">
        <f t="shared" si="4"/>
        <v>0</v>
      </c>
      <c r="Y27" s="276"/>
      <c r="Z27" s="276"/>
      <c r="AB27" s="278" t="str">
        <f t="shared" si="5"/>
        <v>GoldMetalor Technologies (Hong Kong) Ltd.</v>
      </c>
    </row>
    <row r="28" spans="1:28" s="277" customFormat="1" ht="114.75">
      <c r="A28" s="216" t="s">
        <v>723</v>
      </c>
      <c r="B28" s="217" t="s">
        <v>1153</v>
      </c>
      <c r="C28" s="452" t="s">
        <v>1190</v>
      </c>
      <c r="D28" s="217" t="s">
        <v>15607</v>
      </c>
      <c r="E28" s="217" t="s">
        <v>1121</v>
      </c>
      <c r="F28" s="217" t="s">
        <v>723</v>
      </c>
      <c r="G28" s="217" t="s">
        <v>15514</v>
      </c>
      <c r="H28" s="453" t="s">
        <v>15608</v>
      </c>
      <c r="I28" s="454" t="s">
        <v>1652</v>
      </c>
      <c r="J28" s="454" t="s">
        <v>1653</v>
      </c>
      <c r="K28" s="455" t="s">
        <v>15609</v>
      </c>
      <c r="L28" s="455" t="s">
        <v>15610</v>
      </c>
      <c r="M28" s="455"/>
      <c r="N28" s="455" t="s">
        <v>15611</v>
      </c>
      <c r="O28" s="455" t="s">
        <v>15612</v>
      </c>
      <c r="P28" s="456" t="s">
        <v>499</v>
      </c>
      <c r="Q28" s="457" t="s">
        <v>15517</v>
      </c>
      <c r="R28" s="217" t="str">
        <f ca="1">IF(ISERROR($V28),"",OFFSET('Smelter Look-up'!$C$4,$V28-4,0)&amp;"")</f>
        <v>Metalor Technologies S.A.</v>
      </c>
      <c r="S28" s="225" t="str">
        <f t="shared" ca="1" si="3"/>
        <v>CH</v>
      </c>
      <c r="T28" s="225" t="str">
        <f ca="1">IF(B28="","",IF(ISERROR(MATCH($J28,SorP!$B$1:$B$6230,0)),"",INDIRECT("'SorP'!$A$"&amp;MATCH($J28,SorP!$B$1:$B$6230,0))))</f>
        <v>CH-NE</v>
      </c>
      <c r="U28" s="241"/>
      <c r="V28" s="275">
        <f>IF(C28="",NA(),MATCH($B28&amp;$C28,'Smelter Look-up'!$J:$J,0))</f>
        <v>154</v>
      </c>
      <c r="W28" s="276"/>
      <c r="X28" s="276">
        <f t="shared" si="4"/>
        <v>0</v>
      </c>
      <c r="Y28" s="276"/>
      <c r="Z28" s="276"/>
      <c r="AB28" s="278" t="str">
        <f t="shared" si="5"/>
        <v>GoldMetalor Switzerland</v>
      </c>
    </row>
    <row r="29" spans="1:28" s="277" customFormat="1" ht="25.5">
      <c r="A29" s="216" t="s">
        <v>724</v>
      </c>
      <c r="B29" s="217" t="s">
        <v>1153</v>
      </c>
      <c r="C29" s="452" t="s">
        <v>1252</v>
      </c>
      <c r="D29" s="217" t="s">
        <v>1252</v>
      </c>
      <c r="E29" s="217" t="s">
        <v>15574</v>
      </c>
      <c r="F29" s="217" t="s">
        <v>724</v>
      </c>
      <c r="G29" s="217" t="s">
        <v>15514</v>
      </c>
      <c r="H29" s="453" t="s">
        <v>15613</v>
      </c>
      <c r="I29" s="454" t="s">
        <v>1654</v>
      </c>
      <c r="J29" s="454" t="s">
        <v>1655</v>
      </c>
      <c r="K29" s="455" t="s">
        <v>15614</v>
      </c>
      <c r="L29" s="455" t="s">
        <v>15615</v>
      </c>
      <c r="M29" s="455"/>
      <c r="N29" s="455" t="s">
        <v>15616</v>
      </c>
      <c r="O29" s="455" t="s">
        <v>2483</v>
      </c>
      <c r="P29" s="456" t="s">
        <v>498</v>
      </c>
      <c r="Q29" s="457" t="s">
        <v>15560</v>
      </c>
      <c r="R29" s="217" t="str">
        <f ca="1">IF(ISERROR($V29),"",OFFSET('Smelter Look-up'!$C$4,$V29-4,0)&amp;"")</f>
        <v>Metalor USA Refining Corporation</v>
      </c>
      <c r="S29" s="225" t="str">
        <f t="shared" ca="1" si="3"/>
        <v>Unknown</v>
      </c>
      <c r="T29" s="225" t="str">
        <f ca="1">IF(B29="","",IF(ISERROR(MATCH($J29,SorP!$B$1:$B$6230,0)),"",INDIRECT("'SorP'!$A$"&amp;MATCH($J29,SorP!$B$1:$B$6230,0))))</f>
        <v>US-MA</v>
      </c>
      <c r="U29" s="241"/>
      <c r="V29" s="275">
        <f>IF(C29="",NA(),MATCH($B29&amp;$C29,'Smelter Look-up'!$J:$J,0))</f>
        <v>159</v>
      </c>
      <c r="W29" s="276"/>
      <c r="X29" s="276">
        <f t="shared" si="4"/>
        <v>0</v>
      </c>
      <c r="Y29" s="276"/>
      <c r="Z29" s="276"/>
      <c r="AB29" s="278" t="str">
        <f t="shared" si="5"/>
        <v>GoldMetalor USA Refining Corporation</v>
      </c>
    </row>
    <row r="30" spans="1:28" s="277" customFormat="1" ht="63.75">
      <c r="A30" s="216" t="s">
        <v>725</v>
      </c>
      <c r="B30" s="217" t="s">
        <v>1153</v>
      </c>
      <c r="C30" s="452" t="s">
        <v>2243</v>
      </c>
      <c r="D30" s="217" t="s">
        <v>15617</v>
      </c>
      <c r="E30" s="217" t="s">
        <v>1136</v>
      </c>
      <c r="F30" s="217" t="s">
        <v>725</v>
      </c>
      <c r="G30" s="217" t="s">
        <v>15514</v>
      </c>
      <c r="H30" s="453" t="s">
        <v>15618</v>
      </c>
      <c r="I30" s="454" t="s">
        <v>1656</v>
      </c>
      <c r="J30" s="454" t="s">
        <v>15619</v>
      </c>
      <c r="K30" s="455" t="s">
        <v>2483</v>
      </c>
      <c r="L30" s="455" t="s">
        <v>15620</v>
      </c>
      <c r="M30" s="455"/>
      <c r="N30" s="455" t="s">
        <v>15586</v>
      </c>
      <c r="O30" s="455" t="s">
        <v>15606</v>
      </c>
      <c r="P30" s="456" t="s">
        <v>499</v>
      </c>
      <c r="Q30" s="457" t="s">
        <v>15517</v>
      </c>
      <c r="R30" s="217" t="str">
        <f ca="1">IF(ISERROR($V30),"",OFFSET('Smelter Look-up'!$C$4,$V30-4,0)&amp;"")</f>
        <v>Metalurgica Met-Mex Penoles S.A. De C.V.</v>
      </c>
      <c r="S30" s="225" t="str">
        <f t="shared" ca="1" si="3"/>
        <v>MX</v>
      </c>
      <c r="T30" s="225" t="str">
        <f ca="1">IF(B30="","",IF(ISERROR(MATCH($J30,SorP!$B$1:$B$6230,0)),"",INDIRECT("'SorP'!$A$"&amp;MATCH($J30,SorP!$B$1:$B$6230,0))))</f>
        <v/>
      </c>
      <c r="U30" s="241"/>
      <c r="V30" s="275">
        <f>IF(C30="",NA(),MATCH($B30&amp;$C30,'Smelter Look-up'!$J:$J,0))</f>
        <v>163</v>
      </c>
      <c r="W30" s="276"/>
      <c r="X30" s="276">
        <f t="shared" si="4"/>
        <v>0</v>
      </c>
      <c r="Y30" s="276"/>
      <c r="Z30" s="276"/>
      <c r="AB30" s="278" t="str">
        <f t="shared" si="5"/>
        <v>GoldMet-Mex Penoles, S.A.</v>
      </c>
    </row>
    <row r="31" spans="1:28" s="277" customFormat="1" ht="51">
      <c r="A31" s="216" t="s">
        <v>726</v>
      </c>
      <c r="B31" s="217" t="s">
        <v>1153</v>
      </c>
      <c r="C31" s="452" t="s">
        <v>1187</v>
      </c>
      <c r="D31" s="217" t="s">
        <v>1187</v>
      </c>
      <c r="E31" s="217" t="s">
        <v>1131</v>
      </c>
      <c r="F31" s="217" t="s">
        <v>726</v>
      </c>
      <c r="G31" s="217" t="s">
        <v>15514</v>
      </c>
      <c r="H31" s="453" t="s">
        <v>15621</v>
      </c>
      <c r="I31" s="454" t="s">
        <v>1657</v>
      </c>
      <c r="J31" s="454" t="s">
        <v>2322</v>
      </c>
      <c r="K31" s="455" t="s">
        <v>15622</v>
      </c>
      <c r="L31" s="455" t="s">
        <v>15623</v>
      </c>
      <c r="M31" s="455"/>
      <c r="N31" s="455" t="s">
        <v>15579</v>
      </c>
      <c r="O31" s="455" t="s">
        <v>15579</v>
      </c>
      <c r="P31" s="456" t="s">
        <v>499</v>
      </c>
      <c r="Q31" s="457" t="s">
        <v>15560</v>
      </c>
      <c r="R31" s="217" t="str">
        <f ca="1">IF(ISERROR($V31),"",OFFSET('Smelter Look-up'!$C$4,$V31-4,0)&amp;"")</f>
        <v>Mitsubishi Materials Corporation</v>
      </c>
      <c r="S31" s="225" t="str">
        <f t="shared" ca="1" si="3"/>
        <v>JP</v>
      </c>
      <c r="T31" s="225" t="str">
        <f ca="1">IF(B31="","",IF(ISERROR(MATCH($J31,SorP!$B$1:$B$6230,0)),"",INDIRECT("'SorP'!$A$"&amp;MATCH($J31,SorP!$B$1:$B$6230,0))))</f>
        <v>JP-37</v>
      </c>
      <c r="U31" s="241"/>
      <c r="V31" s="275">
        <f>IF(C31="",NA(),MATCH($B31&amp;$C31,'Smelter Look-up'!$J:$J,0))</f>
        <v>164</v>
      </c>
      <c r="W31" s="276"/>
      <c r="X31" s="276">
        <f t="shared" si="4"/>
        <v>0</v>
      </c>
      <c r="Y31" s="276"/>
      <c r="Z31" s="276"/>
      <c r="AB31" s="278" t="str">
        <f t="shared" si="5"/>
        <v>GoldMitsubishi Materials Corporation</v>
      </c>
    </row>
    <row r="32" spans="1:28" s="277" customFormat="1" ht="38.25">
      <c r="A32" s="216" t="s">
        <v>727</v>
      </c>
      <c r="B32" s="217" t="s">
        <v>1153</v>
      </c>
      <c r="C32" s="452" t="s">
        <v>1253</v>
      </c>
      <c r="D32" s="217" t="s">
        <v>1253</v>
      </c>
      <c r="E32" s="217" t="s">
        <v>1131</v>
      </c>
      <c r="F32" s="217" t="s">
        <v>727</v>
      </c>
      <c r="G32" s="217" t="s">
        <v>15514</v>
      </c>
      <c r="H32" s="453" t="s">
        <v>15624</v>
      </c>
      <c r="I32" s="454" t="s">
        <v>1659</v>
      </c>
      <c r="J32" s="454" t="s">
        <v>1658</v>
      </c>
      <c r="K32" s="455" t="s">
        <v>15625</v>
      </c>
      <c r="L32" s="455" t="s">
        <v>15626</v>
      </c>
      <c r="M32" s="455"/>
      <c r="N32" s="455" t="s">
        <v>15627</v>
      </c>
      <c r="O32" s="455" t="s">
        <v>15628</v>
      </c>
      <c r="P32" s="456" t="s">
        <v>499</v>
      </c>
      <c r="Q32" s="457" t="s">
        <v>15517</v>
      </c>
      <c r="R32" s="217" t="str">
        <f ca="1">IF(ISERROR($V32),"",OFFSET('Smelter Look-up'!$C$4,$V32-4,0)&amp;"")</f>
        <v>Mitsui Mining and Smelting Co., Ltd.</v>
      </c>
      <c r="S32" s="225" t="str">
        <f t="shared" ca="1" si="3"/>
        <v>JP</v>
      </c>
      <c r="T32" s="225" t="str">
        <f ca="1">IF(B32="","",IF(ISERROR(MATCH($J32,SorP!$B$1:$B$6230,0)),"",INDIRECT("'SorP'!$A$"&amp;MATCH($J32,SorP!$B$1:$B$6230,0))))</f>
        <v>JP-34</v>
      </c>
      <c r="U32" s="241"/>
      <c r="V32" s="275">
        <f>IF(C32="",NA(),MATCH($B32&amp;$C32,'Smelter Look-up'!$J:$J,0))</f>
        <v>166</v>
      </c>
      <c r="W32" s="276"/>
      <c r="X32" s="276">
        <f t="shared" si="4"/>
        <v>0</v>
      </c>
      <c r="Y32" s="276"/>
      <c r="Z32" s="276"/>
      <c r="AB32" s="278" t="str">
        <f t="shared" si="5"/>
        <v>GoldMitsui Mining and Smelting Co., Ltd.</v>
      </c>
    </row>
    <row r="33" spans="1:28" s="277" customFormat="1" ht="51">
      <c r="A33" s="216" t="s">
        <v>729</v>
      </c>
      <c r="B33" s="217" t="s">
        <v>1153</v>
      </c>
      <c r="C33" s="452" t="s">
        <v>1259</v>
      </c>
      <c r="D33" s="217" t="s">
        <v>1259</v>
      </c>
      <c r="E33" s="217" t="s">
        <v>912</v>
      </c>
      <c r="F33" s="217" t="s">
        <v>729</v>
      </c>
      <c r="G33" s="217" t="s">
        <v>15514</v>
      </c>
      <c r="H33" s="453" t="s">
        <v>15629</v>
      </c>
      <c r="I33" s="454" t="s">
        <v>1662</v>
      </c>
      <c r="J33" s="454" t="s">
        <v>1585</v>
      </c>
      <c r="K33" s="455" t="s">
        <v>2483</v>
      </c>
      <c r="L33" s="455" t="s">
        <v>15630</v>
      </c>
      <c r="M33" s="455"/>
      <c r="N33" s="455" t="s">
        <v>15515</v>
      </c>
      <c r="O33" s="455" t="s">
        <v>15516</v>
      </c>
      <c r="P33" s="456" t="s">
        <v>499</v>
      </c>
      <c r="Q33" s="457" t="s">
        <v>15517</v>
      </c>
      <c r="R33" s="217" t="str">
        <f ca="1">IF(ISERROR($V33),"",OFFSET('Smelter Look-up'!$C$4,$V33-4,0)&amp;"")</f>
        <v>Nadir Metal Rafineri San. Ve Tic. A.S.</v>
      </c>
      <c r="S33" s="225" t="str">
        <f t="shared" ca="1" si="3"/>
        <v>TR</v>
      </c>
      <c r="T33" s="225" t="str">
        <f ca="1">IF(B33="","",IF(ISERROR(MATCH($J33,SorP!$B$1:$B$6230,0)),"",INDIRECT("'SorP'!$A$"&amp;MATCH($J33,SorP!$B$1:$B$6230,0))))</f>
        <v/>
      </c>
      <c r="U33" s="241"/>
      <c r="V33" s="275">
        <f>IF(C33="",NA(),MATCH($B33&amp;$C33,'Smelter Look-up'!$J:$J,0))</f>
        <v>172</v>
      </c>
      <c r="W33" s="276"/>
      <c r="X33" s="276">
        <f t="shared" si="4"/>
        <v>0</v>
      </c>
      <c r="Y33" s="276"/>
      <c r="Z33" s="276"/>
      <c r="AB33" s="278" t="str">
        <f t="shared" si="5"/>
        <v>GoldNadir Metal Rafineri San. Ve Tic. A.Ş.</v>
      </c>
    </row>
    <row r="34" spans="1:28" s="277" customFormat="1" ht="25.5">
      <c r="A34" s="216" t="s">
        <v>731</v>
      </c>
      <c r="B34" s="217" t="s">
        <v>1153</v>
      </c>
      <c r="C34" s="452" t="s">
        <v>2259</v>
      </c>
      <c r="D34" s="217" t="s">
        <v>2259</v>
      </c>
      <c r="E34" s="217" t="s">
        <v>1131</v>
      </c>
      <c r="F34" s="217" t="s">
        <v>731</v>
      </c>
      <c r="G34" s="217" t="s">
        <v>15514</v>
      </c>
      <c r="H34" s="453" t="s">
        <v>15631</v>
      </c>
      <c r="I34" s="454" t="s">
        <v>1664</v>
      </c>
      <c r="J34" s="454" t="s">
        <v>1665</v>
      </c>
      <c r="K34" s="455" t="s">
        <v>15632</v>
      </c>
      <c r="L34" s="455" t="s">
        <v>15633</v>
      </c>
      <c r="M34" s="455"/>
      <c r="N34" s="455" t="s">
        <v>15570</v>
      </c>
      <c r="O34" s="455" t="s">
        <v>15571</v>
      </c>
      <c r="P34" s="456" t="s">
        <v>498</v>
      </c>
      <c r="Q34" s="457" t="s">
        <v>15517</v>
      </c>
      <c r="R34" s="217" t="str">
        <f ca="1">IF(ISERROR($V34),"",OFFSET('Smelter Look-up'!$C$4,$V34-4,0)&amp;"")</f>
        <v>Nihon Material Co., Ltd.</v>
      </c>
      <c r="S34" s="225" t="str">
        <f t="shared" ca="1" si="3"/>
        <v>JP</v>
      </c>
      <c r="T34" s="225" t="str">
        <f ca="1">IF(B34="","",IF(ISERROR(MATCH($J34,SorP!$B$1:$B$6230,0)),"",INDIRECT("'SorP'!$A$"&amp;MATCH($J34,SorP!$B$1:$B$6230,0))))</f>
        <v>JP-12</v>
      </c>
      <c r="U34" s="241"/>
      <c r="V34" s="275">
        <f>IF(C34="",NA(),MATCH($B34&amp;$C34,'Smelter Look-up'!$J:$J,0))</f>
        <v>175</v>
      </c>
      <c r="W34" s="276"/>
      <c r="X34" s="276">
        <f t="shared" si="4"/>
        <v>0</v>
      </c>
      <c r="Y34" s="276"/>
      <c r="Z34" s="276"/>
      <c r="AB34" s="278" t="str">
        <f t="shared" si="5"/>
        <v>GoldNihon Material Co., Ltd.</v>
      </c>
    </row>
    <row r="35" spans="1:28" s="277" customFormat="1" ht="25.5">
      <c r="A35" s="216" t="s">
        <v>732</v>
      </c>
      <c r="B35" s="217" t="s">
        <v>1153</v>
      </c>
      <c r="C35" s="452" t="s">
        <v>2260</v>
      </c>
      <c r="D35" s="217" t="s">
        <v>2260</v>
      </c>
      <c r="E35" s="217" t="s">
        <v>1131</v>
      </c>
      <c r="F35" s="217" t="s">
        <v>732</v>
      </c>
      <c r="G35" s="217" t="s">
        <v>15514</v>
      </c>
      <c r="H35" s="453" t="s">
        <v>15634</v>
      </c>
      <c r="I35" s="454" t="s">
        <v>1667</v>
      </c>
      <c r="J35" s="454" t="s">
        <v>1668</v>
      </c>
      <c r="K35" s="455" t="s">
        <v>2483</v>
      </c>
      <c r="L35" s="455" t="s">
        <v>2483</v>
      </c>
      <c r="M35" s="455"/>
      <c r="N35" s="455" t="s">
        <v>15515</v>
      </c>
      <c r="O35" s="455" t="s">
        <v>15635</v>
      </c>
      <c r="P35" s="456" t="s">
        <v>498</v>
      </c>
      <c r="Q35" s="457" t="s">
        <v>15517</v>
      </c>
      <c r="R35" s="217" t="str">
        <f ca="1">IF(ISERROR($V35),"",OFFSET('Smelter Look-up'!$C$4,$V35-4,0)&amp;"")</f>
        <v>Ohura Precious Metal Industry Co., Ltd.</v>
      </c>
      <c r="S35" s="225" t="str">
        <f t="shared" ca="1" si="3"/>
        <v>JP</v>
      </c>
      <c r="T35" s="225" t="str">
        <f ca="1">IF(B35="","",IF(ISERROR(MATCH($J35,SorP!$B$1:$B$6230,0)),"",INDIRECT("'SorP'!$A$"&amp;MATCH($J35,SorP!$B$1:$B$6230,0))))</f>
        <v>JP-29</v>
      </c>
      <c r="U35" s="241"/>
      <c r="V35" s="275">
        <f>IF(C35="",NA(),MATCH($B35&amp;$C35,'Smelter Look-up'!$J:$J,0))</f>
        <v>180</v>
      </c>
      <c r="W35" s="276"/>
      <c r="X35" s="276">
        <f t="shared" si="4"/>
        <v>0</v>
      </c>
      <c r="Y35" s="276"/>
      <c r="Z35" s="276"/>
      <c r="AB35" s="278" t="str">
        <f t="shared" si="5"/>
        <v>GoldOhura Precious Metal Industry Co., Ltd.</v>
      </c>
    </row>
    <row r="36" spans="1:28" s="277" customFormat="1" ht="25.5">
      <c r="A36" s="216" t="s">
        <v>739</v>
      </c>
      <c r="B36" s="217" t="s">
        <v>1153</v>
      </c>
      <c r="C36" s="452" t="s">
        <v>2263</v>
      </c>
      <c r="D36" s="217" t="s">
        <v>2263</v>
      </c>
      <c r="E36" s="217" t="s">
        <v>916</v>
      </c>
      <c r="F36" s="217" t="s">
        <v>739</v>
      </c>
      <c r="G36" s="217" t="s">
        <v>15514</v>
      </c>
      <c r="H36" s="453" t="s">
        <v>15636</v>
      </c>
      <c r="I36" s="454" t="s">
        <v>1675</v>
      </c>
      <c r="J36" s="454" t="s">
        <v>1676</v>
      </c>
      <c r="K36" s="455" t="s">
        <v>15637</v>
      </c>
      <c r="L36" s="455" t="s">
        <v>15638</v>
      </c>
      <c r="M36" s="455"/>
      <c r="N36" s="455" t="s">
        <v>15639</v>
      </c>
      <c r="O36" s="455" t="s">
        <v>15640</v>
      </c>
      <c r="P36" s="456" t="s">
        <v>499</v>
      </c>
      <c r="Q36" s="457" t="s">
        <v>15517</v>
      </c>
      <c r="R36" s="217" t="str">
        <f ca="1">IF(ISERROR($V36),"",OFFSET('Smelter Look-up'!$C$4,$V36-4,0)&amp;"")</f>
        <v>Rand Refinery (Pty) Ltd.</v>
      </c>
      <c r="S36" s="225" t="str">
        <f t="shared" ca="1" si="3"/>
        <v>ZA</v>
      </c>
      <c r="T36" s="225" t="str">
        <f ca="1">IF(B36="","",IF(ISERROR(MATCH($J36,SorP!$B$1:$B$6230,0)),"",INDIRECT("'SorP'!$A$"&amp;MATCH($J36,SorP!$B$1:$B$6230,0))))</f>
        <v>ZA-GT</v>
      </c>
      <c r="U36" s="241"/>
      <c r="V36" s="275">
        <f>IF(C36="",NA(),MATCH($B36&amp;$C36,'Smelter Look-up'!$J:$J,0))</f>
        <v>197</v>
      </c>
      <c r="W36" s="276"/>
      <c r="X36" s="276">
        <f t="shared" si="4"/>
        <v>0</v>
      </c>
      <c r="Y36" s="276"/>
      <c r="Z36" s="276"/>
      <c r="AB36" s="278" t="str">
        <f t="shared" si="5"/>
        <v>GoldRand Refinery (Pty) Ltd.</v>
      </c>
    </row>
    <row r="37" spans="1:28" s="277" customFormat="1" ht="76.5">
      <c r="A37" s="216" t="s">
        <v>740</v>
      </c>
      <c r="B37" s="217" t="s">
        <v>1153</v>
      </c>
      <c r="C37" s="452" t="s">
        <v>936</v>
      </c>
      <c r="D37" s="217" t="s">
        <v>936</v>
      </c>
      <c r="E37" s="217" t="s">
        <v>1120</v>
      </c>
      <c r="F37" s="217" t="s">
        <v>740</v>
      </c>
      <c r="G37" s="217" t="s">
        <v>15514</v>
      </c>
      <c r="H37" s="453" t="s">
        <v>15641</v>
      </c>
      <c r="I37" s="454" t="s">
        <v>1677</v>
      </c>
      <c r="J37" s="454" t="s">
        <v>1633</v>
      </c>
      <c r="K37" s="455" t="s">
        <v>15642</v>
      </c>
      <c r="L37" s="455" t="s">
        <v>15643</v>
      </c>
      <c r="M37" s="455"/>
      <c r="N37" s="455" t="s">
        <v>2483</v>
      </c>
      <c r="O37" s="455" t="s">
        <v>2483</v>
      </c>
      <c r="P37" s="456" t="s">
        <v>498</v>
      </c>
      <c r="Q37" s="457" t="s">
        <v>15560</v>
      </c>
      <c r="R37" s="217" t="str">
        <f ca="1">IF(ISERROR($V37),"",OFFSET('Smelter Look-up'!$C$4,$V37-4,0)&amp;"")</f>
        <v>Royal Canadian Mint</v>
      </c>
      <c r="S37" s="225" t="str">
        <f t="shared" ca="1" si="3"/>
        <v>CA</v>
      </c>
      <c r="T37" s="225" t="str">
        <f ca="1">IF(B37="","",IF(ISERROR(MATCH($J37,SorP!$B$1:$B$6230,0)),"",INDIRECT("'SorP'!$A$"&amp;MATCH($J37,SorP!$B$1:$B$6230,0))))</f>
        <v>CA-ON</v>
      </c>
      <c r="U37" s="241"/>
      <c r="V37" s="275">
        <f>IF(C37="",NA(),MATCH($B37&amp;$C37,'Smelter Look-up'!$J:$J,0))</f>
        <v>202</v>
      </c>
      <c r="W37" s="276"/>
      <c r="X37" s="276">
        <f t="shared" si="4"/>
        <v>0</v>
      </c>
      <c r="Y37" s="276"/>
      <c r="Z37" s="276"/>
      <c r="AB37" s="278" t="str">
        <f t="shared" si="5"/>
        <v>GoldRoyal Canadian Mint</v>
      </c>
    </row>
    <row r="38" spans="1:28" s="277" customFormat="1" ht="38.25">
      <c r="A38" s="216" t="s">
        <v>744</v>
      </c>
      <c r="B38" s="217" t="s">
        <v>1153</v>
      </c>
      <c r="C38" s="452" t="s">
        <v>2265</v>
      </c>
      <c r="D38" s="217" t="s">
        <v>2265</v>
      </c>
      <c r="E38" s="217" t="s">
        <v>1123</v>
      </c>
      <c r="F38" s="217" t="s">
        <v>744</v>
      </c>
      <c r="G38" s="217" t="s">
        <v>15514</v>
      </c>
      <c r="H38" s="453" t="s">
        <v>15644</v>
      </c>
      <c r="I38" s="454" t="s">
        <v>1615</v>
      </c>
      <c r="J38" s="454" t="s">
        <v>15645</v>
      </c>
      <c r="K38" s="455" t="s">
        <v>15646</v>
      </c>
      <c r="L38" s="455" t="s">
        <v>15647</v>
      </c>
      <c r="M38" s="455"/>
      <c r="N38" s="455" t="s">
        <v>15648</v>
      </c>
      <c r="O38" s="455" t="s">
        <v>15649</v>
      </c>
      <c r="P38" s="456" t="s">
        <v>498</v>
      </c>
      <c r="Q38" s="457" t="s">
        <v>15517</v>
      </c>
      <c r="R38" s="217" t="str">
        <f ca="1">IF(ISERROR($V38),"",OFFSET('Smelter Look-up'!$C$4,$V38-4,0)&amp;"")</f>
        <v>Shandong Zhaojin Gold &amp; Silver Refinery Co., Ltd.</v>
      </c>
      <c r="S38" s="225" t="str">
        <f t="shared" ref="S38:S68" ca="1" si="6">IF(B38="","",IF(ISERROR(MATCH($E38,CL,0)),"Unknown",INDIRECT("'C'!$A$"&amp;MATCH($E38,CL,0)+1)))</f>
        <v>CN</v>
      </c>
      <c r="T38" s="225" t="str">
        <f ca="1">IF(B38="","",IF(ISERROR(MATCH($J38,SorP!$B$1:$B$6230,0)),"",INDIRECT("'SorP'!$A$"&amp;MATCH($J38,SorP!$B$1:$B$6230,0))))</f>
        <v/>
      </c>
      <c r="U38" s="241"/>
      <c r="V38" s="275">
        <f>IF(C38="",NA(),MATCH($B38&amp;$C38,'Smelter Look-up'!$J:$J,0))</f>
        <v>223</v>
      </c>
      <c r="W38" s="276"/>
      <c r="X38" s="276">
        <f t="shared" ref="X38:X68" si="7">IF(AND(C38="Smelter not listed",OR(LEN(D38)=0,LEN(E38)=0)),1,0)</f>
        <v>0</v>
      </c>
      <c r="Y38" s="276"/>
      <c r="Z38" s="276"/>
      <c r="AB38" s="278" t="str">
        <f t="shared" ref="AB38:AB68" si="8">B38&amp;C38</f>
        <v>GoldShandong Zhaojin Gold &amp; Silver Refinery Co., Ltd.</v>
      </c>
    </row>
    <row r="39" spans="1:28" s="277" customFormat="1" ht="25.5">
      <c r="A39" s="216" t="s">
        <v>746</v>
      </c>
      <c r="B39" s="217" t="s">
        <v>1153</v>
      </c>
      <c r="C39" s="452" t="s">
        <v>938</v>
      </c>
      <c r="D39" s="217" t="s">
        <v>938</v>
      </c>
      <c r="E39" s="217" t="s">
        <v>15650</v>
      </c>
      <c r="F39" s="217" t="s">
        <v>746</v>
      </c>
      <c r="G39" s="217" t="s">
        <v>15514</v>
      </c>
      <c r="H39" s="453" t="s">
        <v>15651</v>
      </c>
      <c r="I39" s="454" t="s">
        <v>1693</v>
      </c>
      <c r="J39" s="454" t="s">
        <v>15652</v>
      </c>
      <c r="K39" s="455" t="s">
        <v>15653</v>
      </c>
      <c r="L39" s="455" t="s">
        <v>15654</v>
      </c>
      <c r="M39" s="455"/>
      <c r="N39" s="455" t="s">
        <v>15655</v>
      </c>
      <c r="O39" s="455" t="s">
        <v>15656</v>
      </c>
      <c r="P39" s="456" t="s">
        <v>498</v>
      </c>
      <c r="Q39" s="457" t="s">
        <v>15517</v>
      </c>
      <c r="R39" s="217" t="str">
        <f ca="1">IF(ISERROR($V39),"",OFFSET('Smelter Look-up'!$C$4,$V39-4,0)&amp;"")</f>
        <v>Solar Applied Materials Technology Corp.</v>
      </c>
      <c r="S39" s="225" t="str">
        <f t="shared" ca="1" si="6"/>
        <v>Unknown</v>
      </c>
      <c r="T39" s="225" t="str">
        <f ca="1">IF(B39="","",IF(ISERROR(MATCH($J39,SorP!$B$1:$B$6230,0)),"",INDIRECT("'SorP'!$A$"&amp;MATCH($J39,SorP!$B$1:$B$6230,0))))</f>
        <v/>
      </c>
      <c r="U39" s="241"/>
      <c r="V39" s="275">
        <f>IF(C39="",NA(),MATCH($B39&amp;$C39,'Smelter Look-up'!$J:$J,0))</f>
        <v>233</v>
      </c>
      <c r="W39" s="276"/>
      <c r="X39" s="276">
        <f t="shared" si="7"/>
        <v>0</v>
      </c>
      <c r="Y39" s="276"/>
      <c r="Z39" s="276"/>
      <c r="AB39" s="278" t="str">
        <f t="shared" si="8"/>
        <v>GoldSolar Applied Materials Technology Corp.</v>
      </c>
    </row>
    <row r="40" spans="1:28" s="277" customFormat="1" ht="63.75">
      <c r="A40" s="216" t="s">
        <v>747</v>
      </c>
      <c r="B40" s="217" t="s">
        <v>1153</v>
      </c>
      <c r="C40" s="452" t="s">
        <v>60</v>
      </c>
      <c r="D40" s="217" t="s">
        <v>60</v>
      </c>
      <c r="E40" s="217" t="s">
        <v>1131</v>
      </c>
      <c r="F40" s="217" t="s">
        <v>747</v>
      </c>
      <c r="G40" s="217" t="s">
        <v>15514</v>
      </c>
      <c r="H40" s="453" t="s">
        <v>15657</v>
      </c>
      <c r="I40" s="454" t="s">
        <v>1694</v>
      </c>
      <c r="J40" s="454" t="s">
        <v>2323</v>
      </c>
      <c r="K40" s="455" t="s">
        <v>15658</v>
      </c>
      <c r="L40" s="455" t="s">
        <v>15659</v>
      </c>
      <c r="M40" s="455"/>
      <c r="N40" s="455" t="s">
        <v>15579</v>
      </c>
      <c r="O40" s="455" t="s">
        <v>15579</v>
      </c>
      <c r="P40" s="456" t="s">
        <v>499</v>
      </c>
      <c r="Q40" s="457" t="s">
        <v>15560</v>
      </c>
      <c r="R40" s="217" t="str">
        <f ca="1">IF(ISERROR($V40),"",OFFSET('Smelter Look-up'!$C$4,$V40-4,0)&amp;"")</f>
        <v>Sumitomo Metal Mining Co., Ltd.</v>
      </c>
      <c r="S40" s="225" t="str">
        <f t="shared" ca="1" si="6"/>
        <v>JP</v>
      </c>
      <c r="T40" s="225" t="str">
        <f ca="1">IF(B40="","",IF(ISERROR(MATCH($J40,SorP!$B$1:$B$6230,0)),"",INDIRECT("'SorP'!$A$"&amp;MATCH($J40,SorP!$B$1:$B$6230,0))))</f>
        <v>JP-38</v>
      </c>
      <c r="U40" s="241"/>
      <c r="V40" s="275">
        <f>IF(C40="",NA(),MATCH($B40&amp;$C40,'Smelter Look-up'!$J:$J,0))</f>
        <v>240</v>
      </c>
      <c r="W40" s="276"/>
      <c r="X40" s="276">
        <f t="shared" si="7"/>
        <v>0</v>
      </c>
      <c r="Y40" s="276"/>
      <c r="Z40" s="276"/>
      <c r="AB40" s="278" t="str">
        <f t="shared" si="8"/>
        <v>GoldSumitomo Metal Mining Co., Ltd.</v>
      </c>
    </row>
    <row r="41" spans="1:28" s="277" customFormat="1" ht="25.5">
      <c r="A41" s="216" t="s">
        <v>748</v>
      </c>
      <c r="B41" s="217" t="s">
        <v>1153</v>
      </c>
      <c r="C41" s="452" t="s">
        <v>1256</v>
      </c>
      <c r="D41" s="217" t="s">
        <v>1256</v>
      </c>
      <c r="E41" s="217" t="s">
        <v>1131</v>
      </c>
      <c r="F41" s="217" t="s">
        <v>748</v>
      </c>
      <c r="G41" s="217" t="s">
        <v>15514</v>
      </c>
      <c r="H41" s="453" t="s">
        <v>15660</v>
      </c>
      <c r="I41" s="454" t="s">
        <v>1696</v>
      </c>
      <c r="J41" s="454" t="s">
        <v>1697</v>
      </c>
      <c r="K41" s="455" t="s">
        <v>15661</v>
      </c>
      <c r="L41" s="455" t="s">
        <v>15662</v>
      </c>
      <c r="M41" s="455"/>
      <c r="N41" s="455" t="s">
        <v>15579</v>
      </c>
      <c r="O41" s="455" t="s">
        <v>15579</v>
      </c>
      <c r="P41" s="456" t="s">
        <v>499</v>
      </c>
      <c r="Q41" s="457" t="s">
        <v>15663</v>
      </c>
      <c r="R41" s="217" t="str">
        <f ca="1">IF(ISERROR($V41),"",OFFSET('Smelter Look-up'!$C$4,$V41-4,0)&amp;"")</f>
        <v>Tanaka Kikinzoku Kogyo K.K.</v>
      </c>
      <c r="S41" s="225" t="str">
        <f t="shared" ca="1" si="6"/>
        <v>JP</v>
      </c>
      <c r="T41" s="225" t="str">
        <f ca="1">IF(B41="","",IF(ISERROR(MATCH($J41,SorP!$B$1:$B$6230,0)),"",INDIRECT("'SorP'!$A$"&amp;MATCH($J41,SorP!$B$1:$B$6230,0))))</f>
        <v>JP-14</v>
      </c>
      <c r="U41" s="241"/>
      <c r="V41" s="275">
        <f>IF(C41="",NA(),MATCH($B41&amp;$C41,'Smelter Look-up'!$J:$J,0))</f>
        <v>252</v>
      </c>
      <c r="W41" s="276"/>
      <c r="X41" s="276">
        <f t="shared" si="7"/>
        <v>0</v>
      </c>
      <c r="Y41" s="276"/>
      <c r="Z41" s="276"/>
      <c r="AB41" s="278" t="str">
        <f t="shared" si="8"/>
        <v>GoldTanaka Kikinzoku Kogyo K.K.</v>
      </c>
    </row>
    <row r="42" spans="1:28" s="277" customFormat="1" ht="25.5">
      <c r="A42" s="216" t="s">
        <v>750</v>
      </c>
      <c r="B42" s="217" t="s">
        <v>1153</v>
      </c>
      <c r="C42" s="452" t="s">
        <v>2268</v>
      </c>
      <c r="D42" s="217" t="s">
        <v>2268</v>
      </c>
      <c r="E42" s="217" t="s">
        <v>1123</v>
      </c>
      <c r="F42" s="217" t="s">
        <v>750</v>
      </c>
      <c r="G42" s="217" t="s">
        <v>15514</v>
      </c>
      <c r="H42" s="453" t="s">
        <v>15664</v>
      </c>
      <c r="I42" s="454" t="s">
        <v>1687</v>
      </c>
      <c r="J42" s="454" t="s">
        <v>15665</v>
      </c>
      <c r="K42" s="455" t="s">
        <v>15666</v>
      </c>
      <c r="L42" s="455" t="s">
        <v>15667</v>
      </c>
      <c r="M42" s="455"/>
      <c r="N42" s="455" t="s">
        <v>15668</v>
      </c>
      <c r="O42" s="455" t="s">
        <v>15669</v>
      </c>
      <c r="P42" s="456" t="s">
        <v>499</v>
      </c>
      <c r="Q42" s="457" t="s">
        <v>15517</v>
      </c>
      <c r="R42" s="217" t="str">
        <f ca="1">IF(ISERROR($V42),"",OFFSET('Smelter Look-up'!$C$4,$V42-4,0)&amp;"")</f>
        <v>The Refinery of Shandong Gold Mining Co., Ltd.</v>
      </c>
      <c r="S42" s="225" t="str">
        <f t="shared" ca="1" si="6"/>
        <v>CN</v>
      </c>
      <c r="T42" s="225" t="str">
        <f ca="1">IF(B42="","",IF(ISERROR(MATCH($J42,SorP!$B$1:$B$6230,0)),"",INDIRECT("'SorP'!$A$"&amp;MATCH($J42,SorP!$B$1:$B$6230,0))))</f>
        <v/>
      </c>
      <c r="U42" s="241"/>
      <c r="V42" s="275">
        <f>IF(C42="",NA(),MATCH($B42&amp;$C42,'Smelter Look-up'!$J:$J,0))</f>
        <v>256</v>
      </c>
      <c r="W42" s="276"/>
      <c r="X42" s="276">
        <f t="shared" si="7"/>
        <v>0</v>
      </c>
      <c r="Y42" s="276"/>
      <c r="Z42" s="276"/>
      <c r="AB42" s="278" t="str">
        <f t="shared" si="8"/>
        <v>GoldThe Refinery of Shandong Gold Mining Co., Ltd.</v>
      </c>
    </row>
    <row r="43" spans="1:28" s="277" customFormat="1" ht="51">
      <c r="A43" s="216" t="s">
        <v>751</v>
      </c>
      <c r="B43" s="217" t="s">
        <v>1153</v>
      </c>
      <c r="C43" s="452" t="s">
        <v>2269</v>
      </c>
      <c r="D43" s="217" t="s">
        <v>2269</v>
      </c>
      <c r="E43" s="217" t="s">
        <v>1131</v>
      </c>
      <c r="F43" s="217" t="s">
        <v>751</v>
      </c>
      <c r="G43" s="217" t="s">
        <v>15514</v>
      </c>
      <c r="H43" s="453" t="s">
        <v>15670</v>
      </c>
      <c r="I43" s="454" t="s">
        <v>1702</v>
      </c>
      <c r="J43" s="454" t="s">
        <v>1610</v>
      </c>
      <c r="K43" s="455" t="s">
        <v>15578</v>
      </c>
      <c r="L43" s="455" t="s">
        <v>15671</v>
      </c>
      <c r="M43" s="455"/>
      <c r="N43" s="455" t="s">
        <v>15579</v>
      </c>
      <c r="O43" s="455" t="s">
        <v>15579</v>
      </c>
      <c r="P43" s="456" t="s">
        <v>498</v>
      </c>
      <c r="Q43" s="457" t="s">
        <v>15560</v>
      </c>
      <c r="R43" s="217" t="str">
        <f ca="1">IF(ISERROR($V43),"",OFFSET('Smelter Look-up'!$C$4,$V43-4,0)&amp;"")</f>
        <v>Tokuriki Honten Co., Ltd.</v>
      </c>
      <c r="S43" s="225" t="str">
        <f t="shared" ca="1" si="6"/>
        <v>JP</v>
      </c>
      <c r="T43" s="225" t="str">
        <f ca="1">IF(B43="","",IF(ISERROR(MATCH($J43,SorP!$B$1:$B$6230,0)),"",INDIRECT("'SorP'!$A$"&amp;MATCH($J43,SorP!$B$1:$B$6230,0))))</f>
        <v>JP-11</v>
      </c>
      <c r="U43" s="241"/>
      <c r="V43" s="275">
        <f>IF(C43="",NA(),MATCH($B43&amp;$C43,'Smelter Look-up'!$J:$J,0))</f>
        <v>257</v>
      </c>
      <c r="W43" s="276"/>
      <c r="X43" s="276">
        <f t="shared" si="7"/>
        <v>0</v>
      </c>
      <c r="Y43" s="276"/>
      <c r="Z43" s="276"/>
      <c r="AB43" s="278" t="str">
        <f t="shared" si="8"/>
        <v>GoldTokuriki Honten Co., Ltd.</v>
      </c>
    </row>
    <row r="44" spans="1:28" s="277" customFormat="1" ht="51">
      <c r="A44" s="216" t="s">
        <v>756</v>
      </c>
      <c r="B44" s="217" t="s">
        <v>1153</v>
      </c>
      <c r="C44" s="452" t="s">
        <v>843</v>
      </c>
      <c r="D44" s="217" t="s">
        <v>843</v>
      </c>
      <c r="E44" s="217" t="s">
        <v>15574</v>
      </c>
      <c r="F44" s="217" t="s">
        <v>756</v>
      </c>
      <c r="G44" s="217" t="s">
        <v>15514</v>
      </c>
      <c r="H44" s="453" t="s">
        <v>15672</v>
      </c>
      <c r="I44" s="454" t="s">
        <v>1711</v>
      </c>
      <c r="J44" s="454" t="s">
        <v>1647</v>
      </c>
      <c r="K44" s="455" t="s">
        <v>15673</v>
      </c>
      <c r="L44" s="455" t="s">
        <v>15674</v>
      </c>
      <c r="M44" s="455"/>
      <c r="N44" s="455" t="s">
        <v>2483</v>
      </c>
      <c r="O44" s="455" t="s">
        <v>2483</v>
      </c>
      <c r="P44" s="456" t="s">
        <v>498</v>
      </c>
      <c r="Q44" s="457" t="s">
        <v>15560</v>
      </c>
      <c r="R44" s="217" t="str">
        <f ca="1">IF(ISERROR($V44),"",OFFSET('Smelter Look-up'!$C$4,$V44-4,0)&amp;"")</f>
        <v>United Precious Metal Refining, Inc.</v>
      </c>
      <c r="S44" s="225" t="str">
        <f t="shared" ca="1" si="6"/>
        <v>Unknown</v>
      </c>
      <c r="T44" s="225" t="str">
        <f ca="1">IF(B44="","",IF(ISERROR(MATCH($J44,SorP!$B$1:$B$6230,0)),"",INDIRECT("'SorP'!$A$"&amp;MATCH($J44,SorP!$B$1:$B$6230,0))))</f>
        <v>US-NY</v>
      </c>
      <c r="U44" s="241"/>
      <c r="V44" s="275">
        <f>IF(C44="",NA(),MATCH($B44&amp;$C44,'Smelter Look-up'!$J:$J,0))</f>
        <v>268</v>
      </c>
      <c r="W44" s="276"/>
      <c r="X44" s="276">
        <f t="shared" si="7"/>
        <v>0</v>
      </c>
      <c r="Y44" s="276"/>
      <c r="Z44" s="276"/>
      <c r="AB44" s="278" t="str">
        <f t="shared" si="8"/>
        <v>GoldUnited Precious Metal Refining, Inc.</v>
      </c>
    </row>
    <row r="45" spans="1:28" s="277" customFormat="1" ht="25.5">
      <c r="A45" s="216" t="s">
        <v>758</v>
      </c>
      <c r="B45" s="217" t="s">
        <v>1153</v>
      </c>
      <c r="C45" s="452" t="s">
        <v>15675</v>
      </c>
      <c r="D45" s="217" t="s">
        <v>15675</v>
      </c>
      <c r="E45" s="217" t="s">
        <v>1116</v>
      </c>
      <c r="F45" s="217" t="s">
        <v>758</v>
      </c>
      <c r="G45" s="217" t="s">
        <v>15514</v>
      </c>
      <c r="H45" s="453" t="s">
        <v>15676</v>
      </c>
      <c r="I45" s="454" t="s">
        <v>1713</v>
      </c>
      <c r="J45" s="454" t="s">
        <v>1714</v>
      </c>
      <c r="K45" s="455" t="s">
        <v>15677</v>
      </c>
      <c r="L45" s="455" t="s">
        <v>15678</v>
      </c>
      <c r="M45" s="455"/>
      <c r="N45" s="455" t="s">
        <v>15679</v>
      </c>
      <c r="O45" s="455" t="s">
        <v>15680</v>
      </c>
      <c r="P45" s="456" t="s">
        <v>499</v>
      </c>
      <c r="Q45" s="457" t="s">
        <v>15517</v>
      </c>
      <c r="R45" s="217" t="str">
        <f ca="1">IF(ISERROR($V45),"",OFFSET('Smelter Look-up'!$C$4,$V45-4,0)&amp;"")</f>
        <v/>
      </c>
      <c r="S45" s="225" t="str">
        <f t="shared" ca="1" si="6"/>
        <v>AU</v>
      </c>
      <c r="T45" s="225" t="str">
        <f ca="1">IF(B45="","",IF(ISERROR(MATCH($J45,SorP!$B$1:$B$6230,0)),"",INDIRECT("'SorP'!$A$"&amp;MATCH($J45,SorP!$B$1:$B$6230,0))))</f>
        <v>AU-WA</v>
      </c>
      <c r="U45" s="241"/>
      <c r="V45" s="275" t="e">
        <f>IF(C45="",NA(),MATCH($B45&amp;$C45,'Smelter Look-up'!$J:$J,0))</f>
        <v>#N/A</v>
      </c>
      <c r="W45" s="276"/>
      <c r="X45" s="276">
        <f t="shared" si="7"/>
        <v>0</v>
      </c>
      <c r="Y45" s="276"/>
      <c r="Z45" s="276"/>
      <c r="AB45" s="278" t="str">
        <f t="shared" si="8"/>
        <v>GoldWestern Australian Mint trading as The Perth Mint</v>
      </c>
    </row>
    <row r="46" spans="1:28" s="277" customFormat="1" ht="38.25">
      <c r="A46" s="216" t="s">
        <v>759</v>
      </c>
      <c r="B46" s="217" t="s">
        <v>1153</v>
      </c>
      <c r="C46" s="452" t="s">
        <v>13261</v>
      </c>
      <c r="D46" s="217" t="s">
        <v>15681</v>
      </c>
      <c r="E46" s="217" t="s">
        <v>1131</v>
      </c>
      <c r="F46" s="217" t="s">
        <v>759</v>
      </c>
      <c r="G46" s="217" t="s">
        <v>15514</v>
      </c>
      <c r="H46" s="453" t="s">
        <v>15682</v>
      </c>
      <c r="I46" s="454" t="s">
        <v>1626</v>
      </c>
      <c r="J46" s="454" t="s">
        <v>15683</v>
      </c>
      <c r="K46" s="455" t="s">
        <v>15684</v>
      </c>
      <c r="L46" s="455" t="s">
        <v>15685</v>
      </c>
      <c r="M46" s="455"/>
      <c r="N46" s="455" t="s">
        <v>15521</v>
      </c>
      <c r="O46" s="455" t="s">
        <v>15554</v>
      </c>
      <c r="P46" s="456" t="s">
        <v>498</v>
      </c>
      <c r="Q46" s="457" t="s">
        <v>15517</v>
      </c>
      <c r="R46" s="217" t="str">
        <f ca="1">IF(ISERROR($V46),"",OFFSET('Smelter Look-up'!$C$4,$V46-4,0)&amp;"")</f>
        <v>Yamakin Co., Ltd.</v>
      </c>
      <c r="S46" s="225" t="str">
        <f t="shared" ca="1" si="6"/>
        <v>JP</v>
      </c>
      <c r="T46" s="225" t="str">
        <f ca="1">IF(B46="","",IF(ISERROR(MATCH($J46,SorP!$B$1:$B$6230,0)),"",INDIRECT("'SorP'!$A$"&amp;MATCH($J46,SorP!$B$1:$B$6230,0))))</f>
        <v/>
      </c>
      <c r="U46" s="241"/>
      <c r="V46" s="275">
        <f>IF(C46="",NA(),MATCH($B46&amp;$C46,'Smelter Look-up'!$J:$J,0))</f>
        <v>275</v>
      </c>
      <c r="W46" s="276"/>
      <c r="X46" s="276">
        <f t="shared" si="7"/>
        <v>0</v>
      </c>
      <c r="Y46" s="276"/>
      <c r="Z46" s="276"/>
      <c r="AB46" s="278" t="str">
        <f t="shared" si="8"/>
        <v>GoldYamakin Co., Ltd.</v>
      </c>
    </row>
    <row r="47" spans="1:28" s="277" customFormat="1" ht="51">
      <c r="A47" s="216" t="s">
        <v>762</v>
      </c>
      <c r="B47" s="217" t="s">
        <v>1153</v>
      </c>
      <c r="C47" s="452" t="s">
        <v>1348</v>
      </c>
      <c r="D47" s="217" t="s">
        <v>1348</v>
      </c>
      <c r="E47" s="217" t="s">
        <v>1123</v>
      </c>
      <c r="F47" s="217" t="s">
        <v>762</v>
      </c>
      <c r="G47" s="217" t="s">
        <v>15514</v>
      </c>
      <c r="H47" s="453" t="s">
        <v>15686</v>
      </c>
      <c r="I47" s="454" t="s">
        <v>1720</v>
      </c>
      <c r="J47" s="454" t="s">
        <v>15687</v>
      </c>
      <c r="K47" s="455" t="s">
        <v>15688</v>
      </c>
      <c r="L47" s="455" t="s">
        <v>15689</v>
      </c>
      <c r="M47" s="455"/>
      <c r="N47" s="455" t="s">
        <v>15515</v>
      </c>
      <c r="O47" s="455" t="s">
        <v>15516</v>
      </c>
      <c r="P47" s="456" t="s">
        <v>499</v>
      </c>
      <c r="Q47" s="457" t="s">
        <v>15517</v>
      </c>
      <c r="R47" s="217" t="str">
        <f ca="1">IF(ISERROR($V47),"",OFFSET('Smelter Look-up'!$C$4,$V47-4,0)&amp;"")</f>
        <v>Zhongyuan Gold Smelter of Zhongjin Gold Corporation</v>
      </c>
      <c r="S47" s="225" t="str">
        <f t="shared" ca="1" si="6"/>
        <v>CN</v>
      </c>
      <c r="T47" s="225" t="str">
        <f ca="1">IF(B47="","",IF(ISERROR(MATCH($J47,SorP!$B$1:$B$6230,0)),"",INDIRECT("'SorP'!$A$"&amp;MATCH($J47,SorP!$B$1:$B$6230,0))))</f>
        <v/>
      </c>
      <c r="U47" s="241"/>
      <c r="V47" s="275">
        <f>IF(C47="",NA(),MATCH($B47&amp;$C47,'Smelter Look-up'!$J:$J,0))</f>
        <v>290</v>
      </c>
      <c r="W47" s="276"/>
      <c r="X47" s="276">
        <f t="shared" si="7"/>
        <v>0</v>
      </c>
      <c r="Y47" s="276"/>
      <c r="Z47" s="276"/>
      <c r="AB47" s="278" t="str">
        <f t="shared" si="8"/>
        <v>GoldZhongyuan Gold Smelter of Zhongjin Gold Corporation</v>
      </c>
    </row>
    <row r="48" spans="1:28" s="277" customFormat="1" ht="25.5">
      <c r="A48" s="216" t="s">
        <v>792</v>
      </c>
      <c r="B48" s="217" t="s">
        <v>1154</v>
      </c>
      <c r="C48" s="452" t="s">
        <v>844</v>
      </c>
      <c r="D48" s="217" t="s">
        <v>844</v>
      </c>
      <c r="E48" s="217" t="s">
        <v>1138</v>
      </c>
      <c r="F48" s="217" t="s">
        <v>792</v>
      </c>
      <c r="G48" s="217" t="s">
        <v>15514</v>
      </c>
      <c r="H48" s="453" t="s">
        <v>2483</v>
      </c>
      <c r="I48" s="454" t="s">
        <v>1819</v>
      </c>
      <c r="J48" s="454" t="s">
        <v>15690</v>
      </c>
      <c r="K48" s="455" t="s">
        <v>2483</v>
      </c>
      <c r="L48" s="455" t="s">
        <v>15578</v>
      </c>
      <c r="M48" s="455"/>
      <c r="N48" s="455" t="s">
        <v>2483</v>
      </c>
      <c r="O48" s="455" t="s">
        <v>2483</v>
      </c>
      <c r="P48" s="456" t="s">
        <v>498</v>
      </c>
      <c r="Q48" s="457" t="s">
        <v>15691</v>
      </c>
      <c r="R48" s="217" t="str">
        <f ca="1">IF(ISERROR($V48),"",OFFSET('Smelter Look-up'!$C$4,$V48-4,0)&amp;"")</f>
        <v>Malaysia Smelting Corporation (MSC)</v>
      </c>
      <c r="S48" s="225" t="str">
        <f t="shared" ca="1" si="6"/>
        <v>MY</v>
      </c>
      <c r="T48" s="225" t="str">
        <f ca="1">IF(B48="","",IF(ISERROR(MATCH($J48,SorP!$B$1:$B$6230,0)),"",INDIRECT("'SorP'!$A$"&amp;MATCH($J48,SorP!$B$1:$B$6230,0))))</f>
        <v/>
      </c>
      <c r="U48" s="241"/>
      <c r="V48" s="275">
        <f>IF(C48="",NA(),MATCH($B48&amp;$C48,'Smelter Look-up'!$J:$J,0))</f>
        <v>414</v>
      </c>
      <c r="W48" s="276"/>
      <c r="X48" s="276">
        <f t="shared" si="7"/>
        <v>0</v>
      </c>
      <c r="Y48" s="276"/>
      <c r="Z48" s="276"/>
      <c r="AB48" s="278" t="str">
        <f t="shared" si="8"/>
        <v>TinMalaysia Smelting Corporation (MSC)</v>
      </c>
    </row>
    <row r="49" spans="1:28" s="277" customFormat="1" ht="76.5">
      <c r="A49" s="216" t="s">
        <v>794</v>
      </c>
      <c r="B49" s="217" t="s">
        <v>1154</v>
      </c>
      <c r="C49" s="452" t="s">
        <v>1057</v>
      </c>
      <c r="D49" s="217" t="s">
        <v>1057</v>
      </c>
      <c r="E49" s="217" t="s">
        <v>903</v>
      </c>
      <c r="F49" s="217" t="s">
        <v>794</v>
      </c>
      <c r="G49" s="217" t="s">
        <v>15514</v>
      </c>
      <c r="H49" s="453" t="s">
        <v>15692</v>
      </c>
      <c r="I49" s="454" t="s">
        <v>1824</v>
      </c>
      <c r="J49" s="454" t="s">
        <v>1825</v>
      </c>
      <c r="K49" s="455" t="s">
        <v>15693</v>
      </c>
      <c r="L49" s="455" t="s">
        <v>15694</v>
      </c>
      <c r="M49" s="455"/>
      <c r="N49" s="455" t="s">
        <v>15695</v>
      </c>
      <c r="O49" s="455" t="s">
        <v>15696</v>
      </c>
      <c r="P49" s="456" t="s">
        <v>498</v>
      </c>
      <c r="Q49" s="457" t="s">
        <v>15691</v>
      </c>
      <c r="R49" s="217" t="str">
        <f ca="1">IF(ISERROR($V49),"",OFFSET('Smelter Look-up'!$C$4,$V49-4,0)&amp;"")</f>
        <v>Minsur</v>
      </c>
      <c r="S49" s="225" t="str">
        <f t="shared" ca="1" si="6"/>
        <v>PE</v>
      </c>
      <c r="T49" s="225" t="str">
        <f ca="1">IF(B49="","",IF(ISERROR(MATCH($J49,SorP!$B$1:$B$6230,0)),"",INDIRECT("'SorP'!$A$"&amp;MATCH($J49,SorP!$B$1:$B$6230,0))))</f>
        <v>PE-ICA</v>
      </c>
      <c r="U49" s="241"/>
      <c r="V49" s="275">
        <f>IF(C49="",NA(),MATCH($B49&amp;$C49,'Smelter Look-up'!$J:$J,0))</f>
        <v>424</v>
      </c>
      <c r="W49" s="276"/>
      <c r="X49" s="276">
        <f t="shared" si="7"/>
        <v>0</v>
      </c>
      <c r="Y49" s="276"/>
      <c r="Z49" s="276"/>
      <c r="AB49" s="278" t="str">
        <f t="shared" si="8"/>
        <v>TinMinsur</v>
      </c>
    </row>
    <row r="50" spans="1:28" s="277" customFormat="1" ht="20.25">
      <c r="A50" s="216" t="s">
        <v>795</v>
      </c>
      <c r="B50" s="217" t="s">
        <v>1154</v>
      </c>
      <c r="C50" s="452" t="s">
        <v>1187</v>
      </c>
      <c r="D50" s="217" t="s">
        <v>1187</v>
      </c>
      <c r="E50" s="217" t="s">
        <v>1131</v>
      </c>
      <c r="F50" s="217" t="s">
        <v>795</v>
      </c>
      <c r="G50" s="217" t="s">
        <v>15514</v>
      </c>
      <c r="H50" s="453" t="s">
        <v>15697</v>
      </c>
      <c r="I50" s="454" t="s">
        <v>1827</v>
      </c>
      <c r="J50" s="454" t="s">
        <v>1581</v>
      </c>
      <c r="K50" s="455" t="s">
        <v>15698</v>
      </c>
      <c r="L50" s="455" t="s">
        <v>15699</v>
      </c>
      <c r="M50" s="455"/>
      <c r="N50" s="455" t="s">
        <v>15579</v>
      </c>
      <c r="O50" s="455" t="s">
        <v>15579</v>
      </c>
      <c r="P50" s="456" t="s">
        <v>498</v>
      </c>
      <c r="Q50" s="457" t="s">
        <v>15691</v>
      </c>
      <c r="R50" s="217" t="str">
        <f ca="1">IF(ISERROR($V50),"",OFFSET('Smelter Look-up'!$C$4,$V50-4,0)&amp;"")</f>
        <v>Mitsubishi Materials Corporation</v>
      </c>
      <c r="S50" s="225" t="str">
        <f t="shared" ca="1" si="6"/>
        <v>JP</v>
      </c>
      <c r="T50" s="225" t="str">
        <f ca="1">IF(B50="","",IF(ISERROR(MATCH($J50,SorP!$B$1:$B$6230,0)),"",INDIRECT("'SorP'!$A$"&amp;MATCH($J50,SorP!$B$1:$B$6230,0))))</f>
        <v>JP-28</v>
      </c>
      <c r="U50" s="241"/>
      <c r="V50" s="275">
        <f>IF(C50="",NA(),MATCH($B50&amp;$C50,'Smelter Look-up'!$J:$J,0))</f>
        <v>425</v>
      </c>
      <c r="W50" s="276"/>
      <c r="X50" s="276">
        <f t="shared" si="7"/>
        <v>0</v>
      </c>
      <c r="Y50" s="276"/>
      <c r="Z50" s="276"/>
      <c r="AB50" s="278" t="str">
        <f t="shared" si="8"/>
        <v>TinMitsubishi Materials Corporation</v>
      </c>
    </row>
    <row r="51" spans="1:28" s="277" customFormat="1" ht="25.5">
      <c r="A51" s="216" t="s">
        <v>801</v>
      </c>
      <c r="B51" s="217" t="s">
        <v>1154</v>
      </c>
      <c r="C51" s="452" t="s">
        <v>2262</v>
      </c>
      <c r="D51" s="217" t="s">
        <v>2262</v>
      </c>
      <c r="E51" s="217" t="s">
        <v>1128</v>
      </c>
      <c r="F51" s="217" t="s">
        <v>801</v>
      </c>
      <c r="G51" s="217" t="s">
        <v>15514</v>
      </c>
      <c r="H51" s="453" t="s">
        <v>15700</v>
      </c>
      <c r="I51" s="454" t="s">
        <v>1805</v>
      </c>
      <c r="J51" s="454" t="s">
        <v>15701</v>
      </c>
      <c r="K51" s="455" t="s">
        <v>15702</v>
      </c>
      <c r="L51" s="455" t="s">
        <v>15703</v>
      </c>
      <c r="M51" s="455"/>
      <c r="N51" s="455" t="s">
        <v>2483</v>
      </c>
      <c r="O51" s="455" t="s">
        <v>15704</v>
      </c>
      <c r="P51" s="456" t="s">
        <v>499</v>
      </c>
      <c r="Q51" s="457" t="s">
        <v>15691</v>
      </c>
      <c r="R51" s="217" t="str">
        <f ca="1">IF(ISERROR($V51),"",OFFSET('Smelter Look-up'!$C$4,$V51-4,0)&amp;"")</f>
        <v>PT Refined Bangka Tin</v>
      </c>
      <c r="S51" s="225" t="str">
        <f t="shared" ca="1" si="6"/>
        <v>ID</v>
      </c>
      <c r="T51" s="225" t="str">
        <f ca="1">IF(B51="","",IF(ISERROR(MATCH($J51,SorP!$B$1:$B$6230,0)),"",INDIRECT("'SorP'!$A$"&amp;MATCH($J51,SorP!$B$1:$B$6230,0))))</f>
        <v/>
      </c>
      <c r="U51" s="241"/>
      <c r="V51" s="275">
        <f>IF(C51="",NA(),MATCH($B51&amp;$C51,'Smelter Look-up'!$J:$J,0))</f>
        <v>443</v>
      </c>
      <c r="W51" s="276"/>
      <c r="X51" s="276">
        <f t="shared" si="7"/>
        <v>0</v>
      </c>
      <c r="Y51" s="276"/>
      <c r="Z51" s="276"/>
      <c r="AB51" s="278" t="str">
        <f t="shared" si="8"/>
        <v>TinPT Refined Bangka Tin</v>
      </c>
    </row>
    <row r="52" spans="1:28" s="277" customFormat="1" ht="25.5">
      <c r="A52" s="216" t="s">
        <v>824</v>
      </c>
      <c r="B52" s="217" t="s">
        <v>1154</v>
      </c>
      <c r="C52" s="452" t="s">
        <v>1055</v>
      </c>
      <c r="D52" s="217" t="s">
        <v>15705</v>
      </c>
      <c r="E52" s="217" t="s">
        <v>1128</v>
      </c>
      <c r="F52" s="217" t="s">
        <v>824</v>
      </c>
      <c r="G52" s="217" t="s">
        <v>15514</v>
      </c>
      <c r="H52" s="453" t="s">
        <v>15706</v>
      </c>
      <c r="I52" s="454" t="s">
        <v>1832</v>
      </c>
      <c r="J52" s="454" t="s">
        <v>15707</v>
      </c>
      <c r="K52" s="455" t="s">
        <v>15708</v>
      </c>
      <c r="L52" s="455" t="s">
        <v>15709</v>
      </c>
      <c r="M52" s="455"/>
      <c r="N52" s="455" t="s">
        <v>2483</v>
      </c>
      <c r="O52" s="455" t="s">
        <v>15704</v>
      </c>
      <c r="P52" s="456" t="s">
        <v>499</v>
      </c>
      <c r="Q52" s="457" t="s">
        <v>15691</v>
      </c>
      <c r="R52" s="217" t="str">
        <f ca="1">IF(ISERROR($V52),"",OFFSET('Smelter Look-up'!$C$4,$V52-4,0)&amp;"")</f>
        <v>PT Timah Tbk Kundur</v>
      </c>
      <c r="S52" s="225" t="str">
        <f t="shared" ca="1" si="6"/>
        <v>ID</v>
      </c>
      <c r="T52" s="225" t="str">
        <f ca="1">IF(B52="","",IF(ISERROR(MATCH($J52,SorP!$B$1:$B$6230,0)),"",INDIRECT("'SorP'!$A$"&amp;MATCH($J52,SorP!$B$1:$B$6230,0))))</f>
        <v/>
      </c>
      <c r="U52" s="241"/>
      <c r="V52" s="275">
        <f>IF(C52="",NA(),MATCH($B52&amp;$C52,'Smelter Look-up'!$J:$J,0))</f>
        <v>444</v>
      </c>
      <c r="W52" s="276"/>
      <c r="X52" s="276">
        <f t="shared" si="7"/>
        <v>0</v>
      </c>
      <c r="Y52" s="276"/>
      <c r="Z52" s="276"/>
      <c r="AB52" s="278" t="str">
        <f t="shared" si="8"/>
        <v>TinPT Tambang Timah</v>
      </c>
    </row>
    <row r="53" spans="1:28" s="277" customFormat="1" ht="38.25">
      <c r="A53" s="216" t="s">
        <v>1856</v>
      </c>
      <c r="B53" s="217" t="s">
        <v>1154</v>
      </c>
      <c r="C53" s="452" t="s">
        <v>15710</v>
      </c>
      <c r="D53" s="217" t="s">
        <v>15710</v>
      </c>
      <c r="E53" s="217" t="s">
        <v>1118</v>
      </c>
      <c r="F53" s="217" t="s">
        <v>1856</v>
      </c>
      <c r="G53" s="217" t="s">
        <v>15514</v>
      </c>
      <c r="H53" s="453" t="s">
        <v>15711</v>
      </c>
      <c r="I53" s="454" t="s">
        <v>1857</v>
      </c>
      <c r="J53" s="454" t="s">
        <v>1710</v>
      </c>
      <c r="K53" s="455" t="s">
        <v>15712</v>
      </c>
      <c r="L53" s="455" t="s">
        <v>15713</v>
      </c>
      <c r="M53" s="455"/>
      <c r="N53" s="455" t="s">
        <v>15570</v>
      </c>
      <c r="O53" s="455" t="s">
        <v>15714</v>
      </c>
      <c r="P53" s="456" t="s">
        <v>498</v>
      </c>
      <c r="Q53" s="457" t="s">
        <v>15517</v>
      </c>
      <c r="R53" s="217" t="str">
        <f ca="1">IF(ISERROR($V53),"",OFFSET('Smelter Look-up'!$C$4,$V53-4,0)&amp;"")</f>
        <v/>
      </c>
      <c r="S53" s="225" t="str">
        <f t="shared" ca="1" si="6"/>
        <v>BE</v>
      </c>
      <c r="T53" s="225" t="str">
        <f ca="1">IF(B53="","",IF(ISERROR(MATCH($J53,SorP!$B$1:$B$6230,0)),"",INDIRECT("'SorP'!$A$"&amp;MATCH($J53,SorP!$B$1:$B$6230,0))))</f>
        <v/>
      </c>
      <c r="U53" s="241"/>
      <c r="V53" s="275" t="e">
        <f>IF(C53="",NA(),MATCH($B53&amp;$C53,'Smelter Look-up'!$J:$J,0))</f>
        <v>#N/A</v>
      </c>
      <c r="W53" s="276"/>
      <c r="X53" s="276">
        <f t="shared" si="7"/>
        <v>0</v>
      </c>
      <c r="Y53" s="276"/>
      <c r="Z53" s="276"/>
      <c r="AB53" s="278" t="str">
        <f t="shared" si="8"/>
        <v>TinMetallo-Chimique N.V.</v>
      </c>
    </row>
    <row r="54" spans="1:28" s="277" customFormat="1" ht="25.5">
      <c r="A54" s="216" t="s">
        <v>813</v>
      </c>
      <c r="B54" s="217" t="s">
        <v>1156</v>
      </c>
      <c r="C54" s="452" t="s">
        <v>1402</v>
      </c>
      <c r="D54" s="217" t="s">
        <v>1402</v>
      </c>
      <c r="E54" s="217" t="s">
        <v>1123</v>
      </c>
      <c r="F54" s="217" t="s">
        <v>813</v>
      </c>
      <c r="G54" s="217" t="s">
        <v>15514</v>
      </c>
      <c r="H54" s="453" t="s">
        <v>15715</v>
      </c>
      <c r="I54" s="454" t="s">
        <v>1812</v>
      </c>
      <c r="J54" s="454" t="s">
        <v>15716</v>
      </c>
      <c r="K54" s="455" t="s">
        <v>15717</v>
      </c>
      <c r="L54" s="455" t="s">
        <v>15718</v>
      </c>
      <c r="M54" s="455"/>
      <c r="N54" s="455" t="s">
        <v>15719</v>
      </c>
      <c r="O54" s="455" t="s">
        <v>15720</v>
      </c>
      <c r="P54" s="456" t="s">
        <v>499</v>
      </c>
      <c r="Q54" s="457" t="s">
        <v>15721</v>
      </c>
      <c r="R54" s="217" t="str">
        <f ca="1">IF(ISERROR($V54),"",OFFSET('Smelter Look-up'!$C$4,$V54-4,0)&amp;"")</f>
        <v>Chongyi Zhangyuan Tungsten Co., Ltd.</v>
      </c>
      <c r="S54" s="225" t="str">
        <f t="shared" ca="1" si="6"/>
        <v>CN</v>
      </c>
      <c r="T54" s="225" t="str">
        <f ca="1">IF(B54="","",IF(ISERROR(MATCH($J54,SorP!$B$1:$B$6230,0)),"",INDIRECT("'SorP'!$A$"&amp;MATCH($J54,SorP!$B$1:$B$6230,0))))</f>
        <v/>
      </c>
      <c r="U54" s="241"/>
      <c r="V54" s="275">
        <f>IF(C54="",NA(),MATCH($B54&amp;$C54,'Smelter Look-up'!$J:$J,0))</f>
        <v>501</v>
      </c>
      <c r="W54" s="276"/>
      <c r="X54" s="276">
        <f t="shared" si="7"/>
        <v>0</v>
      </c>
      <c r="Y54" s="276"/>
      <c r="Z54" s="276"/>
      <c r="AB54" s="278" t="str">
        <f t="shared" si="8"/>
        <v>TungstenChongyi Zhangyuan Tungsten Co., Ltd.</v>
      </c>
    </row>
    <row r="55" spans="1:28" s="277" customFormat="1" ht="20.25">
      <c r="A55" s="216" t="s">
        <v>818</v>
      </c>
      <c r="B55" s="217" t="s">
        <v>1156</v>
      </c>
      <c r="C55" s="452" t="s">
        <v>1405</v>
      </c>
      <c r="D55" s="217" t="s">
        <v>1405</v>
      </c>
      <c r="E55" s="217" t="s">
        <v>1131</v>
      </c>
      <c r="F55" s="217" t="s">
        <v>818</v>
      </c>
      <c r="G55" s="217" t="s">
        <v>15514</v>
      </c>
      <c r="H55" s="453" t="s">
        <v>15722</v>
      </c>
      <c r="I55" s="454" t="s">
        <v>2239</v>
      </c>
      <c r="J55" s="454" t="s">
        <v>1605</v>
      </c>
      <c r="K55" s="455" t="s">
        <v>15723</v>
      </c>
      <c r="L55" s="455" t="s">
        <v>15724</v>
      </c>
      <c r="M55" s="455"/>
      <c r="N55" s="455" t="s">
        <v>15725</v>
      </c>
      <c r="O55" s="455" t="s">
        <v>15725</v>
      </c>
      <c r="P55" s="456" t="s">
        <v>498</v>
      </c>
      <c r="Q55" s="457" t="s">
        <v>15726</v>
      </c>
      <c r="R55" s="217" t="str">
        <f ca="1">IF(ISERROR($V55),"",OFFSET('Smelter Look-up'!$C$4,$V55-4,0)&amp;"")</f>
        <v>Japan New Metals Co., Ltd.</v>
      </c>
      <c r="S55" s="225" t="str">
        <f t="shared" ca="1" si="6"/>
        <v>JP</v>
      </c>
      <c r="T55" s="225" t="str">
        <f ca="1">IF(B55="","",IF(ISERROR(MATCH($J55,SorP!$B$1:$B$6230,0)),"",INDIRECT("'SorP'!$A$"&amp;MATCH($J55,SorP!$B$1:$B$6230,0))))</f>
        <v>JP-05</v>
      </c>
      <c r="U55" s="241"/>
      <c r="V55" s="275">
        <f>IF(C55="",NA(),MATCH($B55&amp;$C55,'Smelter Look-up'!$J:$J,0))</f>
        <v>525</v>
      </c>
      <c r="W55" s="276"/>
      <c r="X55" s="276">
        <f t="shared" si="7"/>
        <v>0</v>
      </c>
      <c r="Y55" s="276"/>
      <c r="Z55" s="276"/>
      <c r="AB55" s="278" t="str">
        <f t="shared" si="8"/>
        <v>TungstenJapan New Metals Co., Ltd.</v>
      </c>
    </row>
    <row r="56" spans="1:28" s="277" customFormat="1" ht="25.5">
      <c r="A56" s="216" t="s">
        <v>819</v>
      </c>
      <c r="B56" s="217" t="s">
        <v>1156</v>
      </c>
      <c r="C56" s="452" t="s">
        <v>152</v>
      </c>
      <c r="D56" s="217" t="s">
        <v>152</v>
      </c>
      <c r="E56" s="217" t="s">
        <v>1123</v>
      </c>
      <c r="F56" s="217" t="s">
        <v>819</v>
      </c>
      <c r="G56" s="217" t="s">
        <v>15514</v>
      </c>
      <c r="H56" s="453" t="s">
        <v>15727</v>
      </c>
      <c r="I56" s="454" t="s">
        <v>1812</v>
      </c>
      <c r="J56" s="454" t="s">
        <v>15716</v>
      </c>
      <c r="K56" s="455" t="s">
        <v>15728</v>
      </c>
      <c r="L56" s="455" t="s">
        <v>15729</v>
      </c>
      <c r="M56" s="455"/>
      <c r="N56" s="455" t="s">
        <v>15719</v>
      </c>
      <c r="O56" s="455" t="s">
        <v>15720</v>
      </c>
      <c r="P56" s="456" t="s">
        <v>498</v>
      </c>
      <c r="Q56" s="457" t="s">
        <v>15721</v>
      </c>
      <c r="R56" s="217" t="str">
        <f ca="1">IF(ISERROR($V56),"",OFFSET('Smelter Look-up'!$C$4,$V56-4,0)&amp;"")</f>
        <v>Ganzhou Huaxing Tungsten Products Co., Ltd.</v>
      </c>
      <c r="S56" s="225" t="str">
        <f t="shared" ca="1" si="6"/>
        <v>CN</v>
      </c>
      <c r="T56" s="225" t="str">
        <f ca="1">IF(B56="","",IF(ISERROR(MATCH($J56,SorP!$B$1:$B$6230,0)),"",INDIRECT("'SorP'!$A$"&amp;MATCH($J56,SorP!$B$1:$B$6230,0))))</f>
        <v/>
      </c>
      <c r="U56" s="241"/>
      <c r="V56" s="275">
        <f>IF(C56="",NA(),MATCH($B56&amp;$C56,'Smelter Look-up'!$J:$J,0))</f>
        <v>508</v>
      </c>
      <c r="W56" s="276"/>
      <c r="X56" s="276">
        <f t="shared" si="7"/>
        <v>0</v>
      </c>
      <c r="Y56" s="276"/>
      <c r="Z56" s="276"/>
      <c r="AB56" s="278" t="str">
        <f t="shared" si="8"/>
        <v>TungstenGanzhou Huaxing Tungsten Products Co., Ltd.</v>
      </c>
    </row>
    <row r="57" spans="1:28" s="277" customFormat="1" ht="20.25">
      <c r="A57" s="216" t="s">
        <v>823</v>
      </c>
      <c r="B57" s="217" t="s">
        <v>1156</v>
      </c>
      <c r="C57" s="452" t="s">
        <v>1406</v>
      </c>
      <c r="D57" s="217" t="s">
        <v>1406</v>
      </c>
      <c r="E57" s="217" t="s">
        <v>1123</v>
      </c>
      <c r="F57" s="217" t="s">
        <v>823</v>
      </c>
      <c r="G57" s="217" t="s">
        <v>15514</v>
      </c>
      <c r="H57" s="453" t="s">
        <v>15730</v>
      </c>
      <c r="I57" s="454" t="s">
        <v>15731</v>
      </c>
      <c r="J57" s="454" t="s">
        <v>1876</v>
      </c>
      <c r="K57" s="455" t="s">
        <v>15732</v>
      </c>
      <c r="L57" s="455" t="s">
        <v>15733</v>
      </c>
      <c r="M57" s="455"/>
      <c r="N57" s="455" t="s">
        <v>15734</v>
      </c>
      <c r="O57" s="455" t="s">
        <v>15720</v>
      </c>
      <c r="P57" s="456" t="s">
        <v>498</v>
      </c>
      <c r="Q57" s="457" t="s">
        <v>15721</v>
      </c>
      <c r="R57" s="217" t="str">
        <f ca="1">IF(ISERROR($V57),"",OFFSET('Smelter Look-up'!$C$4,$V57-4,0)&amp;"")</f>
        <v>Xiamen Tungsten Co., Ltd.</v>
      </c>
      <c r="S57" s="225" t="str">
        <f t="shared" ca="1" si="6"/>
        <v>CN</v>
      </c>
      <c r="T57" s="225" t="str">
        <f ca="1">IF(B57="","",IF(ISERROR(MATCH($J57,SorP!$B$1:$B$6230,0)),"",INDIRECT("'SorP'!$A$"&amp;MATCH($J57,SorP!$B$1:$B$6230,0))))</f>
        <v/>
      </c>
      <c r="U57" s="241"/>
      <c r="V57" s="275">
        <f>IF(C57="",NA(),MATCH($B57&amp;$C57,'Smelter Look-up'!$J:$J,0))</f>
        <v>558</v>
      </c>
      <c r="W57" s="276"/>
      <c r="X57" s="276">
        <f t="shared" si="7"/>
        <v>0</v>
      </c>
      <c r="Y57" s="276"/>
      <c r="Z57" s="276"/>
      <c r="AB57" s="278" t="str">
        <f t="shared" si="8"/>
        <v>TungstenXiamen Tungsten Co., Ltd.</v>
      </c>
    </row>
    <row r="58" spans="1:28" s="277" customFormat="1" ht="20.25">
      <c r="A58" s="216" t="s">
        <v>148</v>
      </c>
      <c r="B58" s="217" t="s">
        <v>1156</v>
      </c>
      <c r="C58" s="452" t="s">
        <v>159</v>
      </c>
      <c r="D58" s="217" t="s">
        <v>159</v>
      </c>
      <c r="E58" s="217" t="s">
        <v>1123</v>
      </c>
      <c r="F58" s="217" t="s">
        <v>148</v>
      </c>
      <c r="G58" s="217" t="s">
        <v>15514</v>
      </c>
      <c r="H58" s="453" t="s">
        <v>2483</v>
      </c>
      <c r="I58" s="454" t="s">
        <v>1876</v>
      </c>
      <c r="J58" s="454" t="s">
        <v>1876</v>
      </c>
      <c r="K58" s="455" t="s">
        <v>15732</v>
      </c>
      <c r="L58" s="455" t="s">
        <v>15733</v>
      </c>
      <c r="M58" s="455"/>
      <c r="N58" s="455" t="s">
        <v>15735</v>
      </c>
      <c r="O58" s="455" t="s">
        <v>15736</v>
      </c>
      <c r="P58" s="456" t="s">
        <v>498</v>
      </c>
      <c r="Q58" s="457" t="s">
        <v>15721</v>
      </c>
      <c r="R58" s="217" t="str">
        <f ca="1">IF(ISERROR($V58),"",OFFSET('Smelter Look-up'!$C$4,$V58-4,0)&amp;"")</f>
        <v>Xiamen Tungsten (H.C.) Co., Ltd.</v>
      </c>
      <c r="S58" s="225" t="str">
        <f t="shared" ca="1" si="6"/>
        <v>CN</v>
      </c>
      <c r="T58" s="225" t="str">
        <f ca="1">IF(B58="","",IF(ISERROR(MATCH($J58,SorP!$B$1:$B$6230,0)),"",INDIRECT("'SorP'!$A$"&amp;MATCH($J58,SorP!$B$1:$B$6230,0))))</f>
        <v/>
      </c>
      <c r="U58" s="241"/>
      <c r="V58" s="275">
        <f>IF(C58="",NA(),MATCH($B58&amp;$C58,'Smelter Look-up'!$J:$J,0))</f>
        <v>557</v>
      </c>
      <c r="W58" s="276"/>
      <c r="X58" s="276">
        <f t="shared" si="7"/>
        <v>0</v>
      </c>
      <c r="Y58" s="276"/>
      <c r="Z58" s="276"/>
      <c r="AB58" s="278" t="str">
        <f t="shared" si="8"/>
        <v>TungstenXiamen Tungsten (H.C.) Co., Ltd.</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75" priority="46" stopIfTrue="1">
      <formula>IF(B586="",TRUE)</formula>
    </cfRule>
    <cfRule type="expression" dxfId="74" priority="57" stopIfTrue="1">
      <formula>IF(AND(COUNTIF(MetalSmelter,B586&amp;C586)=0,LEN(C586)&gt;0),TRUE,FALSE)</formula>
    </cfRule>
  </conditionalFormatting>
  <conditionalFormatting sqref="D586:D2504">
    <cfRule type="expression" dxfId="73" priority="40" stopIfTrue="1">
      <formula>IF(AND(LEN($C586)&gt;0,($C586&lt;&gt;"Smelter Not Listed")),1,0)</formula>
    </cfRule>
    <cfRule type="expression" dxfId="72" priority="65" stopIfTrue="1">
      <formula>IF(AND(D586="",$C586=$X$4),TRUE)</formula>
    </cfRule>
    <cfRule type="expression" dxfId="71" priority="66" stopIfTrue="1">
      <formula>IF(FIND("!",D586),TRUE)</formula>
    </cfRule>
  </conditionalFormatting>
  <conditionalFormatting sqref="G586:G2504">
    <cfRule type="expression" dxfId="70" priority="67" stopIfTrue="1">
      <formula>IF(FIND("Enter smelter details",G586),TRUE)</formula>
    </cfRule>
  </conditionalFormatting>
  <conditionalFormatting sqref="R586:R2505 E586:E2504">
    <cfRule type="expression" dxfId="69" priority="53" stopIfTrue="1">
      <formula>IF(AND(E586="",$C586=$X$4),TRUE)</formula>
    </cfRule>
    <cfRule type="expression" dxfId="68" priority="54" stopIfTrue="1">
      <formula>IF(FIND("!",E586),TRUE)</formula>
    </cfRule>
  </conditionalFormatting>
  <conditionalFormatting sqref="F586:F2504">
    <cfRule type="expression" dxfId="67" priority="44" stopIfTrue="1">
      <formula>IF(AND(LEN($A586)&gt;0,$A586&lt;&gt;$F586),TRUE,FALSE)</formula>
    </cfRule>
  </conditionalFormatting>
  <conditionalFormatting sqref="C586:C2504">
    <cfRule type="expression" dxfId="66" priority="43" stopIfTrue="1">
      <formula>IF(AND(B586&lt;&gt;"",C586=""),TRUE)</formula>
    </cfRule>
  </conditionalFormatting>
  <conditionalFormatting sqref="B59:B585">
    <cfRule type="expression" dxfId="65" priority="22" stopIfTrue="1">
      <formula>IF(B59="",TRUE)</formula>
    </cfRule>
    <cfRule type="expression" dxfId="64" priority="25" stopIfTrue="1">
      <formula>IF(AND(COUNTIF(MetalSmelter,B59&amp;C59)=0,LEN(C59)&gt;0),TRUE,FALSE)</formula>
    </cfRule>
  </conditionalFormatting>
  <conditionalFormatting sqref="D59:D585">
    <cfRule type="expression" dxfId="63" priority="19" stopIfTrue="1">
      <formula>IF(AND(LEN($C59)&gt;0,($C59&lt;&gt;"Smelter Not Listed")),1,0)</formula>
    </cfRule>
    <cfRule type="expression" dxfId="62" priority="26" stopIfTrue="1">
      <formula>IF(AND(D59="",$C59=$X$4),TRUE)</formula>
    </cfRule>
    <cfRule type="expression" dxfId="61" priority="27" stopIfTrue="1">
      <formula>IF(FIND("!",D59),TRUE)</formula>
    </cfRule>
  </conditionalFormatting>
  <conditionalFormatting sqref="G59:G585">
    <cfRule type="expression" dxfId="60" priority="28" stopIfTrue="1">
      <formula>IF(FIND("Enter smelter details",G59),TRUE)</formula>
    </cfRule>
  </conditionalFormatting>
  <conditionalFormatting sqref="R5:R585 E59:E585">
    <cfRule type="expression" dxfId="59" priority="23" stopIfTrue="1">
      <formula>IF(AND(E5="",$C5=$X$4),TRUE)</formula>
    </cfRule>
    <cfRule type="expression" dxfId="58" priority="24" stopIfTrue="1">
      <formula>IF(FIND("!",E5),TRUE)</formula>
    </cfRule>
  </conditionalFormatting>
  <conditionalFormatting sqref="F59:F585">
    <cfRule type="expression" dxfId="57" priority="21" stopIfTrue="1">
      <formula>IF(AND(LEN($A59)&gt;0,$A59&lt;&gt;$F59),TRUE,FALSE)</formula>
    </cfRule>
  </conditionalFormatting>
  <conditionalFormatting sqref="C59:C585">
    <cfRule type="expression" dxfId="56" priority="20" stopIfTrue="1">
      <formula>IF(AND(B59&lt;&gt;"",C59=""),TRUE)</formula>
    </cfRule>
  </conditionalFormatting>
  <conditionalFormatting sqref="D5:D58">
    <cfRule type="expression" dxfId="7" priority="1" stopIfTrue="1">
      <formula>IF(AND(LEN($C5) &gt;0, ($C5 &lt;&gt; "Smelter Not Listed")),1,0)</formula>
    </cfRule>
    <cfRule type="expression" dxfId="6" priority="6" stopIfTrue="1">
      <formula>IF(AND(D5="",$C5=$X$4),TRUE)</formula>
    </cfRule>
    <cfRule type="expression" dxfId="5" priority="7" stopIfTrue="1">
      <formula>IF(FIND("!",D5),TRUE)</formula>
    </cfRule>
  </conditionalFormatting>
  <conditionalFormatting sqref="G5:G58">
    <cfRule type="expression" dxfId="4" priority="8" stopIfTrue="1">
      <formula>IF(FIND("Enter smelter details",G5),TRUE)</formula>
    </cfRule>
  </conditionalFormatting>
  <conditionalFormatting sqref="E5:E58">
    <cfRule type="expression" dxfId="3" priority="4" stopIfTrue="1">
      <formula>IF(AND(E5="",$C5=$X$4),TRUE)</formula>
    </cfRule>
    <cfRule type="expression" dxfId="2" priority="5" stopIfTrue="1">
      <formula>IF(FIND("!",E5),TRUE)</formula>
    </cfRule>
  </conditionalFormatting>
  <conditionalFormatting sqref="F5:F58">
    <cfRule type="expression" dxfId="1" priority="3" stopIfTrue="1">
      <formula>IF(AND(LEN($A5)&gt;0,$A5&lt;&gt;$F5),TRUE,FALSE)</formula>
    </cfRule>
  </conditionalFormatting>
  <conditionalFormatting sqref="C5:C58">
    <cfRule type="expression" dxfId="0" priority="2"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tabSelected="1" zoomScalePageLayoutView="70" workbookViewId="0">
      <pane xSplit="1" ySplit="3" topLeftCell="B4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EUROQUARTZ LIMITED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ANDY TREBLE</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atreble@euroquartz.co.uk</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 1460230000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ANDY TREBLE</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atreble@euroquartz.co.uk</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43985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45" priority="358" stopIfTrue="1">
      <formula>$H$56=0</formula>
    </cfRule>
  </conditionalFormatting>
  <conditionalFormatting sqref="B66">
    <cfRule type="expression" dxfId="44" priority="39" stopIfTrue="1">
      <formula>IF(F66=0,TRUE)</formula>
    </cfRule>
  </conditionalFormatting>
  <conditionalFormatting sqref="B67">
    <cfRule type="expression" dxfId="43" priority="35" stopIfTrue="1">
      <formula>IF(F67=0,TRUE)</formula>
    </cfRule>
  </conditionalFormatting>
  <conditionalFormatting sqref="B68:B69">
    <cfRule type="expression" dxfId="42" priority="31" stopIfTrue="1">
      <formula>IF(F68=0,TRUE)</formula>
    </cfRule>
  </conditionalFormatting>
  <conditionalFormatting sqref="C69">
    <cfRule type="expression" dxfId="41" priority="13" stopIfTrue="1">
      <formula>C69="Not Required"</formula>
    </cfRule>
    <cfRule type="expression" dxfId="40" priority="21" stopIfTrue="1">
      <formula>OR(C69="Complete",C69="填写",C69="記入",C69="완료",C69="Complétez",C69="Concluído",C69="Vollständig",C69="Completare",C69="Doldurun")</formula>
    </cfRule>
  </conditionalFormatting>
  <conditionalFormatting sqref="A69">
    <cfRule type="expression" dxfId="39" priority="14" stopIfTrue="1">
      <formula>C69="Not Required"</formula>
    </cfRule>
    <cfRule type="expression" dxfId="38"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37" priority="347" stopIfTrue="1">
      <formula>$F4=0</formula>
    </cfRule>
    <cfRule type="expression" dxfId="36" priority="348" stopIfTrue="1">
      <formula>$H4=0</formula>
    </cfRule>
    <cfRule type="expression" dxfId="35" priority="349" stopIfTrue="1">
      <formula>$H4=1</formula>
    </cfRule>
  </conditionalFormatting>
  <conditionalFormatting sqref="C69 A69">
    <cfRule type="expression" dxfId="34" priority="11" stopIfTrue="1">
      <formula>IF(AND($F$69=1,$G$69=1),TRUE,FALSE)</formula>
    </cfRule>
  </conditionalFormatting>
  <conditionalFormatting sqref="A29:A32">
    <cfRule type="expression" dxfId="33" priority="2" stopIfTrue="1">
      <formula>$F29=0</formula>
    </cfRule>
    <cfRule type="expression" dxfId="32" priority="3" stopIfTrue="1">
      <formula>$H29=0</formula>
    </cfRule>
    <cfRule type="expression" dxfId="31" priority="4" stopIfTrue="1">
      <formula>$H29=1</formula>
    </cfRule>
  </conditionalFormatting>
  <conditionalFormatting sqref="B65">
    <cfRule type="expression" dxfId="30" priority="1" stopIfTrue="1">
      <formula>IF(F65=0,TRUE)</formula>
    </cfRule>
  </conditionalFormatting>
  <conditionalFormatting sqref="A5:A13">
    <cfRule type="expression" dxfId="29" priority="49" stopIfTrue="1">
      <formula>$F5=0</formula>
    </cfRule>
    <cfRule type="expression" dxfId="28" priority="50" stopIfTrue="1">
      <formula>AND($F5=1,$G5=0)</formula>
    </cfRule>
    <cfRule type="expression" dxfId="27"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5"/>
    </row>
    <row r="2" spans="1:6">
      <c r="A2" s="29"/>
      <c r="B2" s="147"/>
      <c r="C2" s="147"/>
      <c r="D2"/>
      <c r="E2" s="30"/>
    </row>
    <row r="3" spans="1:6">
      <c r="A3" s="29"/>
      <c r="B3" s="147"/>
      <c r="C3" s="147"/>
      <c r="D3" s="147"/>
      <c r="E3" s="30"/>
    </row>
    <row r="4" spans="1:6" ht="15.75" customHeight="1">
      <c r="A4" s="29"/>
      <c r="B4" s="441" t="s">
        <v>921</v>
      </c>
      <c r="C4" s="441"/>
      <c r="D4" s="441"/>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4" t="str">
        <f ca="1">OFFSET(L!$C$1,MATCH("General"&amp;"Cpy",L!$A:$A,0)-1,SL,,)</f>
        <v>© 2020 Responsible Minerals Initiative. All rights reserved.</v>
      </c>
      <c r="C1001" s="444"/>
      <c r="D1001" s="444"/>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26" priority="21" stopIfTrue="1" operator="equal">
      <formula>"Yes"</formula>
    </cfRule>
  </conditionalFormatting>
  <conditionalFormatting sqref="K5">
    <cfRule type="cellIs" dxfId="25" priority="5" stopIfTrue="1" operator="equal">
      <formula>"Yes"</formula>
    </cfRule>
  </conditionalFormatting>
  <conditionalFormatting sqref="J293:J294">
    <cfRule type="cellIs" dxfId="24" priority="3" stopIfTrue="1" operator="equal">
      <formula>"Yes"</formula>
    </cfRule>
  </conditionalFormatting>
  <conditionalFormatting sqref="J353:J354">
    <cfRule type="cellIs" dxfId="23" priority="2" stopIfTrue="1" operator="equal">
      <formula>"Yes"</formula>
    </cfRule>
  </conditionalFormatting>
  <conditionalFormatting sqref="J484:J485">
    <cfRule type="cellIs" dxfId="2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2020-06-03T15:12:39Z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